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cueductos-my.sharepoint.com/personal/vmm00001_acueductospr_com/Documents/Documents/Formularios/"/>
    </mc:Choice>
  </mc:AlternateContent>
  <xr:revisionPtr revIDLastSave="14" documentId="8_{06A1484E-B357-4A63-963F-F5157F140F86}" xr6:coauthVersionLast="47" xr6:coauthVersionMax="47" xr10:uidLastSave="{0EECACB4-695E-4CE8-AC5B-3B12BAC39D07}"/>
  <workbookProtection workbookAlgorithmName="SHA-512" workbookHashValue="pdlAtLo5MHN7kCH4QB0qqPMRA1s3IYF2SVmVO6KvlfQ5dh0lc6TP2j7Ok6fW9ACtYxY5gpvmkTlZAewyYIzOXg==" workbookSaltValue="FG311B7WNBMlB7l30eEW1Q==" workbookSpinCount="100000" lockStructure="1"/>
  <bookViews>
    <workbookView xWindow="28680" yWindow="-120" windowWidth="29040" windowHeight="16440" xr2:uid="{00000000-000D-0000-FFFF-FFFF00000000}"/>
  </bookViews>
  <sheets>
    <sheet name="AAA-89" sheetId="1" r:id="rId1"/>
    <sheet name="Bisemanas" sheetId="9" state="hidden" r:id="rId2"/>
  </sheets>
  <definedNames>
    <definedName name="AprSun1">DATE(CalendarYear,4,1)-WEEKDAY(DATE(CalendarYear,4,1))</definedName>
    <definedName name="AugSun1">DATE(CalendarYear,8,1)-WEEKDAY(DATE(CalendarYear,8,1))</definedName>
    <definedName name="CalendarYear">'AAA-89'!$C$2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'AAA-89'!$B$4:$AX$46</definedName>
    <definedName name="SepSun1">DATE(CalendarYear,9,1)-WEEKDAY(DATE(CalendarYear,9,1))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4" i="1" l="1"/>
  <c r="BA14" i="1" s="1"/>
  <c r="BB14" i="1" s="1"/>
  <c r="AZ16" i="1"/>
  <c r="BA16" i="1" s="1"/>
  <c r="BB16" i="1" s="1"/>
  <c r="AZ17" i="1"/>
  <c r="BA17" i="1" s="1"/>
  <c r="BB17" i="1" s="1"/>
  <c r="BA12" i="1"/>
  <c r="BB12" i="1" s="1"/>
  <c r="AZ23" i="1"/>
  <c r="BA23" i="1" s="1"/>
  <c r="AZ21" i="1"/>
  <c r="BA21" i="1" s="1"/>
  <c r="AZ20" i="1"/>
  <c r="BA20" i="1" s="1"/>
  <c r="AZ15" i="1"/>
  <c r="BA15" i="1" s="1"/>
  <c r="BB15" i="1" s="1"/>
  <c r="AZ11" i="1"/>
  <c r="BA11" i="1" s="1"/>
  <c r="BB11" i="1" s="1"/>
  <c r="AZ10" i="1"/>
  <c r="BA10" i="1" s="1"/>
  <c r="BB10" i="1" s="1"/>
  <c r="AZ6" i="1"/>
  <c r="BA6" i="1" s="1"/>
  <c r="BB6" i="1" s="1"/>
  <c r="AZ7" i="1"/>
  <c r="BA7" i="1" s="1"/>
  <c r="BB7" i="1" s="1"/>
  <c r="B26" i="9"/>
  <c r="C26" i="9" s="1"/>
  <c r="D26" i="9" s="1"/>
  <c r="E26" i="9" s="1"/>
  <c r="F26" i="9" s="1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B24" i="9"/>
  <c r="AB23" i="9"/>
  <c r="B23" i="9"/>
  <c r="B13" i="9"/>
  <c r="AB12" i="9"/>
  <c r="B12" i="9"/>
  <c r="C2" i="9"/>
  <c r="D2" i="9" s="1"/>
  <c r="E2" i="9" s="1"/>
  <c r="F2" i="9" s="1"/>
  <c r="G2" i="9" s="1"/>
  <c r="H2" i="9" s="1"/>
  <c r="I2" i="9" s="1"/>
  <c r="J2" i="9" s="1"/>
  <c r="K2" i="9" s="1"/>
  <c r="L2" i="9" s="1"/>
  <c r="M2" i="9" s="1"/>
  <c r="N2" i="9" s="1"/>
  <c r="O2" i="9" s="1"/>
  <c r="P2" i="9" s="1"/>
  <c r="Q2" i="9" s="1"/>
  <c r="R2" i="9" s="1"/>
  <c r="S2" i="9" s="1"/>
  <c r="T2" i="9" s="1"/>
  <c r="U2" i="9" s="1"/>
  <c r="V2" i="9" s="1"/>
  <c r="W2" i="9" s="1"/>
  <c r="X2" i="9" s="1"/>
  <c r="Y2" i="9" s="1"/>
  <c r="Z2" i="9" s="1"/>
  <c r="AA2" i="9" s="1"/>
  <c r="B3" i="9" s="1"/>
  <c r="C30" i="1"/>
  <c r="S30" i="1" s="1"/>
  <c r="C5" i="1"/>
  <c r="BB23" i="1" l="1"/>
  <c r="BB21" i="1"/>
  <c r="BB20" i="1"/>
  <c r="S45" i="1"/>
  <c r="S34" i="1"/>
  <c r="C36" i="1"/>
  <c r="S35" i="1"/>
  <c r="C37" i="1"/>
  <c r="C34" i="1"/>
  <c r="S36" i="1"/>
  <c r="C38" i="1"/>
  <c r="S37" i="1"/>
  <c r="C39" i="1"/>
  <c r="S38" i="1"/>
  <c r="C40" i="1"/>
  <c r="S39" i="1"/>
  <c r="C42" i="1"/>
  <c r="S41" i="1"/>
  <c r="C43" i="1"/>
  <c r="S42" i="1"/>
  <c r="S33" i="1"/>
  <c r="C35" i="1"/>
  <c r="C41" i="1"/>
  <c r="S40" i="1"/>
  <c r="C32" i="1"/>
  <c r="C44" i="1"/>
  <c r="S43" i="1"/>
  <c r="C33" i="1"/>
  <c r="S32" i="1"/>
  <c r="S44" i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B4" i="9" s="1"/>
  <c r="C4" i="9" s="1"/>
  <c r="D4" i="9" s="1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B5" i="9" s="1"/>
  <c r="C5" i="9" s="1"/>
  <c r="D5" i="9" s="1"/>
  <c r="E5" i="9" s="1"/>
  <c r="F5" i="9" s="1"/>
  <c r="G5" i="9" s="1"/>
  <c r="H5" i="9" s="1"/>
  <c r="I5" i="9" s="1"/>
  <c r="J5" i="9" s="1"/>
  <c r="K5" i="9" s="1"/>
  <c r="L5" i="9" s="1"/>
  <c r="M5" i="9" s="1"/>
  <c r="N5" i="9" s="1"/>
  <c r="O5" i="9" s="1"/>
  <c r="P5" i="9" s="1"/>
  <c r="Q5" i="9" s="1"/>
  <c r="R5" i="9" s="1"/>
  <c r="S5" i="9" s="1"/>
  <c r="T5" i="9" s="1"/>
  <c r="U5" i="9" s="1"/>
  <c r="V5" i="9" s="1"/>
  <c r="W5" i="9" s="1"/>
  <c r="X5" i="9" s="1"/>
  <c r="Y5" i="9" s="1"/>
  <c r="Z5" i="9" s="1"/>
  <c r="AA5" i="9" s="1"/>
  <c r="B6" i="9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B7" i="9" s="1"/>
  <c r="C7" i="9" s="1"/>
  <c r="D7" i="9" s="1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B8" i="9" s="1"/>
  <c r="C8" i="9" s="1"/>
  <c r="D8" i="9" s="1"/>
  <c r="E8" i="9" s="1"/>
  <c r="F8" i="9" s="1"/>
  <c r="G8" i="9" s="1"/>
  <c r="H8" i="9" s="1"/>
  <c r="I8" i="9" s="1"/>
  <c r="J8" i="9" s="1"/>
  <c r="K8" i="9" s="1"/>
  <c r="L8" i="9" s="1"/>
  <c r="M8" i="9" s="1"/>
  <c r="N8" i="9" s="1"/>
  <c r="O8" i="9" s="1"/>
  <c r="P8" i="9" s="1"/>
  <c r="Q8" i="9" s="1"/>
  <c r="R8" i="9" s="1"/>
  <c r="S8" i="9" s="1"/>
  <c r="T8" i="9" s="1"/>
  <c r="U8" i="9" s="1"/>
  <c r="V8" i="9" s="1"/>
  <c r="W8" i="9" s="1"/>
  <c r="X8" i="9" s="1"/>
  <c r="Y8" i="9" s="1"/>
  <c r="Z8" i="9" s="1"/>
  <c r="AA8" i="9" s="1"/>
  <c r="B9" i="9" s="1"/>
  <c r="C9" i="9" s="1"/>
  <c r="D9" i="9" s="1"/>
  <c r="E9" i="9" s="1"/>
  <c r="F9" i="9" s="1"/>
  <c r="G9" i="9" s="1"/>
  <c r="H9" i="9" s="1"/>
  <c r="I9" i="9" s="1"/>
  <c r="J9" i="9" s="1"/>
  <c r="K9" i="9" s="1"/>
  <c r="L9" i="9" s="1"/>
  <c r="M9" i="9" s="1"/>
  <c r="N9" i="9" s="1"/>
  <c r="O9" i="9" s="1"/>
  <c r="P9" i="9" s="1"/>
  <c r="Q9" i="9" s="1"/>
  <c r="R9" i="9" s="1"/>
  <c r="S9" i="9" s="1"/>
  <c r="T9" i="9" s="1"/>
  <c r="U9" i="9" s="1"/>
  <c r="V9" i="9" s="1"/>
  <c r="W9" i="9" s="1"/>
  <c r="X9" i="9" s="1"/>
  <c r="Y9" i="9" s="1"/>
  <c r="Z9" i="9" s="1"/>
  <c r="AA9" i="9" s="1"/>
  <c r="B10" i="9" s="1"/>
  <c r="C10" i="9" s="1"/>
  <c r="D10" i="9" s="1"/>
  <c r="E10" i="9" s="1"/>
  <c r="F10" i="9" s="1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B11" i="9" s="1"/>
  <c r="C11" i="9" s="1"/>
  <c r="D11" i="9" s="1"/>
  <c r="E11" i="9" s="1"/>
  <c r="F11" i="9" s="1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C12" i="9" s="1"/>
  <c r="D12" i="9" s="1"/>
  <c r="E12" i="9" s="1"/>
  <c r="F12" i="9" s="1"/>
  <c r="G12" i="9" s="1"/>
  <c r="H12" i="9" s="1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W12" i="9" s="1"/>
  <c r="X12" i="9" s="1"/>
  <c r="Y12" i="9" s="1"/>
  <c r="Z12" i="9" s="1"/>
  <c r="AA12" i="9" s="1"/>
  <c r="C13" i="9" l="1"/>
  <c r="D13" i="9" s="1"/>
  <c r="E13" i="9" s="1"/>
  <c r="F13" i="9" s="1"/>
  <c r="G13" i="9" s="1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B14" i="9" s="1"/>
  <c r="C14" i="9" s="1"/>
  <c r="D14" i="9" s="1"/>
  <c r="E14" i="9" s="1"/>
  <c r="F14" i="9" s="1"/>
  <c r="G14" i="9" s="1"/>
  <c r="H14" i="9" s="1"/>
  <c r="I14" i="9" s="1"/>
  <c r="J14" i="9" s="1"/>
  <c r="K14" i="9" s="1"/>
  <c r="L14" i="9" s="1"/>
  <c r="M14" i="9" s="1"/>
  <c r="N14" i="9" s="1"/>
  <c r="O14" i="9" s="1"/>
  <c r="P14" i="9" s="1"/>
  <c r="Q14" i="9" s="1"/>
  <c r="R14" i="9" s="1"/>
  <c r="S14" i="9" s="1"/>
  <c r="T14" i="9" s="1"/>
  <c r="U14" i="9" s="1"/>
  <c r="V14" i="9" s="1"/>
  <c r="W14" i="9" s="1"/>
  <c r="X14" i="9" s="1"/>
  <c r="Y14" i="9" s="1"/>
  <c r="Z14" i="9" s="1"/>
  <c r="AA14" i="9" s="1"/>
  <c r="B15" i="9" s="1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B16" i="9" s="1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T16" i="9" s="1"/>
  <c r="U16" i="9" s="1"/>
  <c r="V16" i="9" s="1"/>
  <c r="W16" i="9" s="1"/>
  <c r="X16" i="9" s="1"/>
  <c r="Y16" i="9" s="1"/>
  <c r="Z16" i="9" s="1"/>
  <c r="AA16" i="9" s="1"/>
  <c r="B17" i="9" s="1"/>
  <c r="C17" i="9" s="1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B18" i="9" s="1"/>
  <c r="C18" i="9" s="1"/>
  <c r="D18" i="9" s="1"/>
  <c r="E18" i="9" s="1"/>
  <c r="F18" i="9" s="1"/>
  <c r="G18" i="9" s="1"/>
  <c r="H18" i="9" s="1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B19" i="9" s="1"/>
  <c r="C19" i="9" s="1"/>
  <c r="D19" i="9" s="1"/>
  <c r="E19" i="9" s="1"/>
  <c r="F19" i="9" s="1"/>
  <c r="G19" i="9" s="1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B20" i="9" s="1"/>
  <c r="C20" i="9" s="1"/>
  <c r="D20" i="9" s="1"/>
  <c r="E20" i="9" s="1"/>
  <c r="F20" i="9" s="1"/>
  <c r="G20" i="9" s="1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B21" i="9" s="1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B22" i="9" s="1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T22" i="9" s="1"/>
  <c r="U22" i="9" s="1"/>
  <c r="V22" i="9" s="1"/>
  <c r="W22" i="9" s="1"/>
  <c r="X22" i="9" s="1"/>
  <c r="Y22" i="9" s="1"/>
  <c r="Z22" i="9" s="1"/>
  <c r="AA22" i="9" s="1"/>
  <c r="C23" i="9" s="1"/>
  <c r="D23" i="9" s="1"/>
  <c r="E23" i="9" s="1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C24" i="9" s="1"/>
  <c r="D24" i="9" s="1"/>
  <c r="E24" i="9" s="1"/>
  <c r="F24" i="9" s="1"/>
  <c r="G24" i="9" s="1"/>
  <c r="H24" i="9" s="1"/>
  <c r="I24" i="9" s="1"/>
  <c r="J24" i="9" s="1"/>
  <c r="K24" i="9" s="1"/>
  <c r="L24" i="9" s="1"/>
  <c r="M24" i="9" s="1"/>
  <c r="N24" i="9" s="1"/>
  <c r="O24" i="9" s="1"/>
  <c r="P24" i="9" s="1"/>
  <c r="Q24" i="9" s="1"/>
  <c r="R24" i="9" s="1"/>
  <c r="S24" i="9" s="1"/>
  <c r="T24" i="9" s="1"/>
  <c r="U24" i="9" s="1"/>
  <c r="V24" i="9" s="1"/>
  <c r="W24" i="9" s="1"/>
  <c r="X24" i="9" s="1"/>
  <c r="Y24" i="9" s="1"/>
  <c r="Z24" i="9" s="1"/>
  <c r="AA24" i="9" s="1"/>
  <c r="B25" i="9" s="1"/>
  <c r="C25" i="9" s="1"/>
  <c r="D25" i="9" s="1"/>
  <c r="E25" i="9" s="1"/>
  <c r="F25" i="9" s="1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Q25" i="9" s="1"/>
  <c r="R25" i="9" s="1"/>
  <c r="S25" i="9" s="1"/>
  <c r="T25" i="9" s="1"/>
  <c r="U25" i="9" s="1"/>
  <c r="V25" i="9" s="1"/>
  <c r="W25" i="9" s="1"/>
  <c r="X25" i="9" s="1"/>
  <c r="Y25" i="9" s="1"/>
  <c r="Z25" i="9" s="1"/>
  <c r="AA25" i="9" s="1"/>
  <c r="AA12" i="1"/>
  <c r="AB12" i="1"/>
  <c r="AC12" i="1"/>
  <c r="AD12" i="1"/>
  <c r="AE12" i="1"/>
  <c r="AF12" i="1"/>
  <c r="AG12" i="1"/>
  <c r="AA13" i="1"/>
  <c r="AB13" i="1"/>
  <c r="AC13" i="1"/>
  <c r="AD13" i="1"/>
  <c r="AE13" i="1"/>
  <c r="AF13" i="1"/>
  <c r="AG13" i="1"/>
  <c r="AA14" i="1"/>
  <c r="AB14" i="1"/>
  <c r="AC14" i="1"/>
  <c r="AD14" i="1"/>
  <c r="AE14" i="1"/>
  <c r="AF14" i="1"/>
  <c r="AG14" i="1"/>
  <c r="AA15" i="1"/>
  <c r="AB15" i="1"/>
  <c r="AC15" i="1"/>
  <c r="AD15" i="1"/>
  <c r="AE15" i="1"/>
  <c r="AF15" i="1"/>
  <c r="AG15" i="1"/>
  <c r="AA16" i="1"/>
  <c r="AB16" i="1"/>
  <c r="AC16" i="1"/>
  <c r="AD16" i="1"/>
  <c r="AE16" i="1"/>
  <c r="AF16" i="1"/>
  <c r="AG16" i="1"/>
  <c r="AA17" i="1"/>
  <c r="AB17" i="1"/>
  <c r="AC17" i="1"/>
  <c r="AD17" i="1"/>
  <c r="AE17" i="1"/>
  <c r="AF17" i="1"/>
  <c r="AG17" i="1"/>
  <c r="G14" i="1" l="1"/>
  <c r="AW27" i="1" l="1"/>
  <c r="AV27" i="1"/>
  <c r="AU27" i="1"/>
  <c r="AT27" i="1"/>
  <c r="AS27" i="1"/>
  <c r="AR27" i="1"/>
  <c r="AQ27" i="1"/>
  <c r="AW26" i="1"/>
  <c r="AV26" i="1"/>
  <c r="AU26" i="1"/>
  <c r="AT26" i="1"/>
  <c r="AS26" i="1"/>
  <c r="AR26" i="1"/>
  <c r="AQ26" i="1"/>
  <c r="AW25" i="1"/>
  <c r="AV25" i="1"/>
  <c r="AU25" i="1"/>
  <c r="AT25" i="1"/>
  <c r="AS25" i="1"/>
  <c r="AR25" i="1"/>
  <c r="AQ25" i="1"/>
  <c r="AW24" i="1"/>
  <c r="AV24" i="1"/>
  <c r="AU24" i="1"/>
  <c r="AT24" i="1"/>
  <c r="AS24" i="1"/>
  <c r="AR24" i="1"/>
  <c r="AQ24" i="1"/>
  <c r="AW23" i="1"/>
  <c r="AV23" i="1"/>
  <c r="AU23" i="1"/>
  <c r="AT23" i="1"/>
  <c r="AS23" i="1"/>
  <c r="AR23" i="1"/>
  <c r="AQ23" i="1"/>
  <c r="AW22" i="1"/>
  <c r="AV22" i="1"/>
  <c r="AU22" i="1"/>
  <c r="AT22" i="1"/>
  <c r="AS22" i="1"/>
  <c r="AR22" i="1"/>
  <c r="AQ22" i="1"/>
  <c r="AO27" i="1"/>
  <c r="AN27" i="1"/>
  <c r="AM27" i="1"/>
  <c r="AL27" i="1"/>
  <c r="AK27" i="1"/>
  <c r="AJ27" i="1"/>
  <c r="AI27" i="1"/>
  <c r="AO26" i="1"/>
  <c r="AN26" i="1"/>
  <c r="AM26" i="1"/>
  <c r="AL26" i="1"/>
  <c r="AK26" i="1"/>
  <c r="AJ26" i="1"/>
  <c r="AI26" i="1"/>
  <c r="AO25" i="1"/>
  <c r="AN25" i="1"/>
  <c r="AM25" i="1"/>
  <c r="AL25" i="1"/>
  <c r="AK25" i="1"/>
  <c r="AJ25" i="1"/>
  <c r="AI25" i="1"/>
  <c r="AO24" i="1"/>
  <c r="AN24" i="1"/>
  <c r="AM24" i="1"/>
  <c r="AL24" i="1"/>
  <c r="AK24" i="1"/>
  <c r="AJ24" i="1"/>
  <c r="AI24" i="1"/>
  <c r="AO23" i="1"/>
  <c r="AN23" i="1"/>
  <c r="AM23" i="1"/>
  <c r="AL23" i="1"/>
  <c r="AK23" i="1"/>
  <c r="AJ23" i="1"/>
  <c r="AI23" i="1"/>
  <c r="AO22" i="1"/>
  <c r="AN22" i="1"/>
  <c r="AM22" i="1"/>
  <c r="AL22" i="1"/>
  <c r="AK22" i="1"/>
  <c r="AJ22" i="1"/>
  <c r="AI22" i="1"/>
  <c r="AG27" i="1"/>
  <c r="AF27" i="1"/>
  <c r="AE27" i="1"/>
  <c r="AD27" i="1"/>
  <c r="AC27" i="1"/>
  <c r="AB27" i="1"/>
  <c r="AA27" i="1"/>
  <c r="AG26" i="1"/>
  <c r="AF26" i="1"/>
  <c r="AE26" i="1"/>
  <c r="AD26" i="1"/>
  <c r="AC26" i="1"/>
  <c r="AB26" i="1"/>
  <c r="AA26" i="1"/>
  <c r="AG25" i="1"/>
  <c r="AF25" i="1"/>
  <c r="AE25" i="1"/>
  <c r="AD25" i="1"/>
  <c r="AC25" i="1"/>
  <c r="AB25" i="1"/>
  <c r="AA25" i="1"/>
  <c r="AG24" i="1"/>
  <c r="AF24" i="1"/>
  <c r="AE24" i="1"/>
  <c r="AD24" i="1"/>
  <c r="AC24" i="1"/>
  <c r="AB24" i="1"/>
  <c r="AA24" i="1"/>
  <c r="AG23" i="1"/>
  <c r="AF23" i="1"/>
  <c r="AE23" i="1"/>
  <c r="AD23" i="1"/>
  <c r="AC23" i="1"/>
  <c r="AB23" i="1"/>
  <c r="AA23" i="1"/>
  <c r="AG22" i="1"/>
  <c r="AF22" i="1"/>
  <c r="AE22" i="1"/>
  <c r="AD22" i="1"/>
  <c r="AC22" i="1"/>
  <c r="AB22" i="1"/>
  <c r="AA22" i="1"/>
  <c r="Y27" i="1"/>
  <c r="X27" i="1"/>
  <c r="W27" i="1"/>
  <c r="V27" i="1"/>
  <c r="U27" i="1"/>
  <c r="T27" i="1"/>
  <c r="S27" i="1"/>
  <c r="Y26" i="1"/>
  <c r="X26" i="1"/>
  <c r="W26" i="1"/>
  <c r="V26" i="1"/>
  <c r="U26" i="1"/>
  <c r="T26" i="1"/>
  <c r="S26" i="1"/>
  <c r="Y25" i="1"/>
  <c r="X25" i="1"/>
  <c r="W25" i="1"/>
  <c r="V25" i="1"/>
  <c r="U25" i="1"/>
  <c r="T25" i="1"/>
  <c r="S25" i="1"/>
  <c r="Y24" i="1"/>
  <c r="X24" i="1"/>
  <c r="W24" i="1"/>
  <c r="V24" i="1"/>
  <c r="U24" i="1"/>
  <c r="T24" i="1"/>
  <c r="S24" i="1"/>
  <c r="Y23" i="1"/>
  <c r="X23" i="1"/>
  <c r="W23" i="1"/>
  <c r="V23" i="1"/>
  <c r="U23" i="1"/>
  <c r="T23" i="1"/>
  <c r="S23" i="1"/>
  <c r="Y22" i="1"/>
  <c r="X22" i="1"/>
  <c r="W22" i="1"/>
  <c r="V22" i="1"/>
  <c r="U22" i="1"/>
  <c r="T22" i="1"/>
  <c r="S22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Q22" i="1"/>
  <c r="P22" i="1"/>
  <c r="O22" i="1"/>
  <c r="N22" i="1"/>
  <c r="M22" i="1"/>
  <c r="L22" i="1"/>
  <c r="K22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AW17" i="1"/>
  <c r="AV17" i="1"/>
  <c r="AU17" i="1"/>
  <c r="AT17" i="1"/>
  <c r="AS17" i="1"/>
  <c r="AR17" i="1"/>
  <c r="AQ17" i="1"/>
  <c r="AW16" i="1"/>
  <c r="AV16" i="1"/>
  <c r="AU16" i="1"/>
  <c r="AT16" i="1"/>
  <c r="AS16" i="1"/>
  <c r="AR16" i="1"/>
  <c r="AQ16" i="1"/>
  <c r="AW15" i="1"/>
  <c r="AV15" i="1"/>
  <c r="AU15" i="1"/>
  <c r="AT15" i="1"/>
  <c r="AS15" i="1"/>
  <c r="AR15" i="1"/>
  <c r="AQ15" i="1"/>
  <c r="AW14" i="1"/>
  <c r="AV14" i="1"/>
  <c r="AU14" i="1"/>
  <c r="AT14" i="1"/>
  <c r="AS14" i="1"/>
  <c r="AR14" i="1"/>
  <c r="AQ14" i="1"/>
  <c r="AW13" i="1"/>
  <c r="AV13" i="1"/>
  <c r="AU13" i="1"/>
  <c r="AT13" i="1"/>
  <c r="AS13" i="1"/>
  <c r="AR13" i="1"/>
  <c r="AQ13" i="1"/>
  <c r="AW12" i="1"/>
  <c r="AV12" i="1"/>
  <c r="AU12" i="1"/>
  <c r="AT12" i="1"/>
  <c r="AS12" i="1"/>
  <c r="AR12" i="1"/>
  <c r="AQ12" i="1"/>
  <c r="AO17" i="1"/>
  <c r="AN17" i="1"/>
  <c r="AM17" i="1"/>
  <c r="AL17" i="1"/>
  <c r="AK17" i="1"/>
  <c r="AJ17" i="1"/>
  <c r="AI17" i="1"/>
  <c r="AO16" i="1"/>
  <c r="AN16" i="1"/>
  <c r="AM16" i="1"/>
  <c r="AL16" i="1"/>
  <c r="AK16" i="1"/>
  <c r="AJ16" i="1"/>
  <c r="AI16" i="1"/>
  <c r="AO15" i="1"/>
  <c r="AN15" i="1"/>
  <c r="AM15" i="1"/>
  <c r="AL15" i="1"/>
  <c r="AK15" i="1"/>
  <c r="AJ15" i="1"/>
  <c r="AI15" i="1"/>
  <c r="AO14" i="1"/>
  <c r="AN14" i="1"/>
  <c r="AM14" i="1"/>
  <c r="AL14" i="1"/>
  <c r="AK14" i="1"/>
  <c r="AJ14" i="1"/>
  <c r="AI14" i="1"/>
  <c r="AO13" i="1"/>
  <c r="AN13" i="1"/>
  <c r="AM13" i="1"/>
  <c r="AL13" i="1"/>
  <c r="AK13" i="1"/>
  <c r="AJ13" i="1"/>
  <c r="AI13" i="1"/>
  <c r="AO12" i="1"/>
  <c r="AN12" i="1"/>
  <c r="AM12" i="1"/>
  <c r="AL12" i="1"/>
  <c r="AK12" i="1"/>
  <c r="AJ12" i="1"/>
  <c r="AI12" i="1"/>
  <c r="Y17" i="1"/>
  <c r="X17" i="1"/>
  <c r="W17" i="1"/>
  <c r="V17" i="1"/>
  <c r="U17" i="1"/>
  <c r="T17" i="1"/>
  <c r="S17" i="1"/>
  <c r="Y16" i="1"/>
  <c r="X16" i="1"/>
  <c r="W16" i="1"/>
  <c r="V16" i="1"/>
  <c r="U16" i="1"/>
  <c r="T16" i="1"/>
  <c r="S16" i="1"/>
  <c r="Y15" i="1"/>
  <c r="X15" i="1"/>
  <c r="W15" i="1"/>
  <c r="V15" i="1"/>
  <c r="U15" i="1"/>
  <c r="T15" i="1"/>
  <c r="S15" i="1"/>
  <c r="Y14" i="1"/>
  <c r="X14" i="1"/>
  <c r="W14" i="1"/>
  <c r="V14" i="1"/>
  <c r="U14" i="1"/>
  <c r="T14" i="1"/>
  <c r="S14" i="1"/>
  <c r="Y13" i="1"/>
  <c r="X13" i="1"/>
  <c r="W13" i="1"/>
  <c r="V13" i="1"/>
  <c r="U13" i="1"/>
  <c r="T13" i="1"/>
  <c r="S13" i="1"/>
  <c r="Y12" i="1"/>
  <c r="X12" i="1"/>
  <c r="W12" i="1"/>
  <c r="V12" i="1"/>
  <c r="U12" i="1"/>
  <c r="T12" i="1"/>
  <c r="S12" i="1"/>
  <c r="Q17" i="1"/>
  <c r="P17" i="1"/>
  <c r="O17" i="1"/>
  <c r="N17" i="1"/>
  <c r="M17" i="1"/>
  <c r="L17" i="1"/>
  <c r="K17" i="1"/>
  <c r="Q16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Q14" i="1"/>
  <c r="P14" i="1"/>
  <c r="O14" i="1"/>
  <c r="N14" i="1"/>
  <c r="M14" i="1"/>
  <c r="L14" i="1"/>
  <c r="K14" i="1"/>
  <c r="Q13" i="1"/>
  <c r="P13" i="1"/>
  <c r="O13" i="1"/>
  <c r="N13" i="1"/>
  <c r="M13" i="1"/>
  <c r="L13" i="1"/>
  <c r="K13" i="1"/>
  <c r="Q12" i="1"/>
  <c r="P12" i="1"/>
  <c r="O12" i="1"/>
  <c r="N12" i="1"/>
  <c r="M12" i="1"/>
  <c r="L12" i="1"/>
  <c r="K12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AZ13" i="1" l="1"/>
  <c r="BA13" i="1" s="1"/>
  <c r="BB13" i="1" s="1"/>
  <c r="AZ22" i="1"/>
  <c r="AZ19" i="1"/>
  <c r="AZ18" i="1"/>
  <c r="AZ8" i="1"/>
  <c r="BA8" i="1" s="1"/>
  <c r="BB8" i="1" s="1"/>
  <c r="AZ9" i="1"/>
  <c r="BA9" i="1" s="1"/>
  <c r="BB9" i="1" s="1"/>
  <c r="BA18" i="1" l="1"/>
  <c r="BB18" i="1" s="1"/>
  <c r="BA19" i="1"/>
  <c r="BB19" i="1" s="1"/>
  <c r="BA22" i="1"/>
  <c r="BB22" i="1" s="1"/>
</calcChain>
</file>

<file path=xl/sharedStrings.xml><?xml version="1.0" encoding="utf-8"?>
<sst xmlns="http://schemas.openxmlformats.org/spreadsheetml/2006/main" count="218" uniqueCount="100">
  <si>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</si>
  <si>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</si>
  <si>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</si>
  <si>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</si>
  <si>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</si>
  <si>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</si>
  <si>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</si>
  <si>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</si>
  <si>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</si>
  <si>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</si>
  <si>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</si>
  <si>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</si>
  <si>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DOM</t>
  </si>
  <si>
    <t>LUN</t>
  </si>
  <si>
    <t>MAR</t>
  </si>
  <si>
    <t>MIE</t>
  </si>
  <si>
    <t>JUE</t>
  </si>
  <si>
    <t>VIE</t>
  </si>
  <si>
    <t>SAB</t>
  </si>
  <si>
    <t>NUM. EMPLEADO</t>
  </si>
  <si>
    <t>NOMBRE</t>
  </si>
  <si>
    <t>CENTRO DE COSTO</t>
  </si>
  <si>
    <t>JORNADA</t>
  </si>
  <si>
    <t>REGIÓN</t>
  </si>
  <si>
    <t>LUGAR DE TRABAJO</t>
  </si>
  <si>
    <t>FECHA DE ACUMULACIÓN 90 DÍAS</t>
  </si>
  <si>
    <t>TURNO</t>
  </si>
  <si>
    <t>GR.LAB.</t>
  </si>
  <si>
    <t>FECHA NOMB.</t>
  </si>
  <si>
    <t>ACUMULADO POR CATORCENA</t>
  </si>
  <si>
    <t>UIA, TU, UN, TN, GR, TG, HI, TH</t>
  </si>
  <si>
    <t>LA</t>
  </si>
  <si>
    <t>LE</t>
  </si>
  <si>
    <t>EMP. A JORNADA PARCIAL (CODERI)</t>
  </si>
  <si>
    <t>EMP. A PARTIR LEY # 8 (04/feb/17)</t>
  </si>
  <si>
    <t>AÑO</t>
  </si>
  <si>
    <t>LICENCIA ENFERMEDAD</t>
  </si>
  <si>
    <t>LICENCIA ANUAL</t>
  </si>
  <si>
    <t>OBSERVACIONES</t>
  </si>
  <si>
    <t>HRS. DIFER.</t>
  </si>
  <si>
    <t>HRS. ACUM.</t>
  </si>
  <si>
    <t>BALANCE</t>
  </si>
  <si>
    <t>BALANCE ANTERIOR</t>
  </si>
  <si>
    <t>MES / DÍA</t>
  </si>
  <si>
    <t>Año</t>
  </si>
  <si>
    <t>Cartorcena 1</t>
  </si>
  <si>
    <t>Cartorcena 2</t>
  </si>
  <si>
    <t>Cartorcena 3</t>
  </si>
  <si>
    <t>Cartorcena 4</t>
  </si>
  <si>
    <t>Cartorcena 5</t>
  </si>
  <si>
    <t>Cartorcena 6</t>
  </si>
  <si>
    <t>Cartorcena 7</t>
  </si>
  <si>
    <t>Cartorcena 8</t>
  </si>
  <si>
    <t>Cartorcena 9</t>
  </si>
  <si>
    <t>Cartorcena 10</t>
  </si>
  <si>
    <t>Cartorcena 11</t>
  </si>
  <si>
    <t>Cartorcena 12</t>
  </si>
  <si>
    <t>Cartorcena 13</t>
  </si>
  <si>
    <t>Cartorcena 14</t>
  </si>
  <si>
    <t>Cartorcena 15</t>
  </si>
  <si>
    <t>Cartorcena 16</t>
  </si>
  <si>
    <t>Cartorcena 17</t>
  </si>
  <si>
    <t>Cartorcena 18</t>
  </si>
  <si>
    <t>Cartorcena 19</t>
  </si>
  <si>
    <t>Cartorcena 20</t>
  </si>
  <si>
    <t>Cartorcena 21</t>
  </si>
  <si>
    <t>Cartorcena 22</t>
  </si>
  <si>
    <t>Cartorcena 23</t>
  </si>
  <si>
    <t>Cartorcena 24</t>
  </si>
  <si>
    <t>Cartorcena 25</t>
  </si>
  <si>
    <t>Cartorcena 26</t>
  </si>
  <si>
    <t>Cartorcena 27</t>
  </si>
  <si>
    <t xml:space="preserve"> </t>
  </si>
  <si>
    <t>FERIADOS</t>
  </si>
  <si>
    <t>Año Nuevo</t>
  </si>
  <si>
    <t>Día de Reyes</t>
  </si>
  <si>
    <t>Día de los Próceres</t>
  </si>
  <si>
    <t>Día de la Ciudadanía Americana</t>
  </si>
  <si>
    <t>Día de la Abolición de la Esclavitud</t>
  </si>
  <si>
    <t>Independencia de los EU</t>
  </si>
  <si>
    <t>Memorial Day</t>
  </si>
  <si>
    <t>Natalicio Martin Luther King Jr.</t>
  </si>
  <si>
    <t>Día del Trabajo</t>
  </si>
  <si>
    <t>Día de la Raza</t>
  </si>
  <si>
    <t>Día del Veterano</t>
  </si>
  <si>
    <t>Descubrimiento de PR</t>
  </si>
  <si>
    <t>Navidad</t>
  </si>
  <si>
    <t>Acción de Gracias</t>
  </si>
  <si>
    <t>Viernes Santo</t>
  </si>
  <si>
    <t>Entrada manual</t>
  </si>
  <si>
    <t>Preparado por la Oficina de Sistemas e Informes de RH</t>
  </si>
  <si>
    <t>LEYENDA</t>
  </si>
  <si>
    <t>DESCRIPCIÓN</t>
  </si>
  <si>
    <t>Feriado se celebra lunes</t>
  </si>
  <si>
    <t>Feriado oficial</t>
  </si>
  <si>
    <t>Espacio para escribir</t>
  </si>
  <si>
    <t>Fin de catorcena / bisemana</t>
  </si>
  <si>
    <t>Día de la Constitución</t>
  </si>
  <si>
    <t>Natalicio José Celso Barbosa</t>
  </si>
  <si>
    <t>Día de la Emancipación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</si>
</sst>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500A]mmm&quot; &quot;dd;@"/>
  </numFmts>
  <fonts count="20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ajor"/>
    </font>
    <font>
      <b/>
      <sz val="26"/>
      <color theme="0"/>
      <name val="Calibri"/>
      <family val="2"/>
      <scheme val="maj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9.5"/>
      <color rgb="FF002060"/>
      <name val="Calibri"/>
      <family val="2"/>
      <scheme val="major"/>
    </font>
    <font>
      <i/>
      <sz val="10"/>
      <color rgb="FF00206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24"/>
      <color rgb="FF002060"/>
      <name val="Impact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.5"/>
      <color rgb="FF00206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8"/>
      <color rgb="FF00206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fgColor theme="0"/>
        <bgColor rgb="FFFFC000"/>
      </patternFill>
    </fill>
    <fill>
      <patternFill patternType="gray0625">
        <fgColor theme="0"/>
        <bgColor theme="8" tint="0.79995117038483843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auto="1"/>
      </right>
      <top style="thick">
        <color indexed="64"/>
      </top>
      <bottom style="thin">
        <color indexed="64"/>
      </bottom>
      <diagonal/>
    </border>
    <border>
      <left style="double">
        <color auto="1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auto="1"/>
      </top>
      <bottom style="double">
        <color auto="1"/>
      </bottom>
      <diagonal/>
    </border>
    <border>
      <left/>
      <right style="thick">
        <color indexed="64"/>
      </right>
      <top style="double">
        <color auto="1"/>
      </top>
      <bottom style="double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auto="1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auto="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/>
    <xf numFmtId="0" fontId="4" fillId="2" borderId="0" xfId="0" applyFont="1" applyFill="1" applyBorder="1" applyAlignment="1">
      <alignment vertical="center"/>
    </xf>
    <xf numFmtId="0" fontId="0" fillId="0" borderId="0" xfId="0" applyProtection="1">
      <protection hidden="1"/>
    </xf>
    <xf numFmtId="0" fontId="11" fillId="0" borderId="0" xfId="0" applyFont="1" applyAlignment="1"/>
    <xf numFmtId="0" fontId="3" fillId="0" borderId="0" xfId="0" applyFont="1" applyFill="1" applyBorder="1" applyAlignment="1" applyProtection="1"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Protection="1">
      <protection hidden="1"/>
    </xf>
    <xf numFmtId="164" fontId="0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49" fontId="0" fillId="0" borderId="0" xfId="0" applyNumberFormat="1" applyFont="1" applyAlignment="1" applyProtection="1">
      <alignment horizontal="left"/>
      <protection hidden="1"/>
    </xf>
    <xf numFmtId="49" fontId="10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>
      <alignment horizontal="center"/>
    </xf>
    <xf numFmtId="0" fontId="0" fillId="0" borderId="3" xfId="0" applyFont="1" applyBorder="1"/>
    <xf numFmtId="0" fontId="0" fillId="0" borderId="3" xfId="0" applyFont="1" applyFill="1" applyBorder="1" applyAlignment="1"/>
    <xf numFmtId="0" fontId="0" fillId="0" borderId="2" xfId="0" applyFont="1" applyFill="1" applyBorder="1" applyAlignment="1"/>
    <xf numFmtId="0" fontId="13" fillId="0" borderId="3" xfId="0" applyFont="1" applyFill="1" applyBorder="1" applyAlignment="1"/>
    <xf numFmtId="0" fontId="0" fillId="0" borderId="4" xfId="0" applyFont="1" applyBorder="1"/>
    <xf numFmtId="0" fontId="0" fillId="0" borderId="4" xfId="0" applyFont="1" applyFill="1" applyBorder="1"/>
    <xf numFmtId="0" fontId="0" fillId="0" borderId="4" xfId="0" applyFont="1" applyBorder="1" applyProtection="1">
      <protection hidden="1"/>
    </xf>
    <xf numFmtId="164" fontId="0" fillId="0" borderId="4" xfId="0" applyNumberFormat="1" applyFont="1" applyFill="1" applyBorder="1" applyAlignment="1" applyProtection="1">
      <alignment horizontal="center"/>
      <protection hidden="1"/>
    </xf>
    <xf numFmtId="0" fontId="0" fillId="0" borderId="4" xfId="0" applyBorder="1"/>
    <xf numFmtId="164" fontId="0" fillId="0" borderId="1" xfId="0" applyNumberFormat="1" applyFont="1" applyFill="1" applyBorder="1" applyAlignment="1" applyProtection="1">
      <alignment horizontal="center"/>
      <protection hidden="1"/>
    </xf>
    <xf numFmtId="164" fontId="0" fillId="0" borderId="8" xfId="0" applyNumberFormat="1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7" fillId="0" borderId="8" xfId="0" applyFont="1" applyFill="1" applyBorder="1" applyAlignment="1" applyProtection="1">
      <alignment horizontal="center"/>
      <protection hidden="1"/>
    </xf>
    <xf numFmtId="164" fontId="0" fillId="0" borderId="7" xfId="0" applyNumberFormat="1" applyFont="1" applyFill="1" applyBorder="1" applyAlignment="1" applyProtection="1">
      <alignment horizontal="center"/>
      <protection hidden="1"/>
    </xf>
    <xf numFmtId="164" fontId="0" fillId="0" borderId="10" xfId="0" applyNumberFormat="1" applyFont="1" applyFill="1" applyBorder="1" applyAlignment="1" applyProtection="1">
      <alignment horizontal="center"/>
      <protection hidden="1"/>
    </xf>
    <xf numFmtId="164" fontId="0" fillId="0" borderId="11" xfId="0" applyNumberFormat="1" applyFont="1" applyFill="1" applyBorder="1" applyAlignment="1" applyProtection="1">
      <alignment horizontal="center"/>
      <protection hidden="1"/>
    </xf>
    <xf numFmtId="164" fontId="0" fillId="0" borderId="12" xfId="0" applyNumberFormat="1" applyFont="1" applyFill="1" applyBorder="1" applyAlignment="1" applyProtection="1">
      <alignment horizontal="center"/>
      <protection hidden="1"/>
    </xf>
    <xf numFmtId="164" fontId="0" fillId="0" borderId="13" xfId="0" applyNumberFormat="1" applyFont="1" applyFill="1" applyBorder="1" applyAlignment="1" applyProtection="1">
      <alignment horizontal="center"/>
      <protection hidden="1"/>
    </xf>
    <xf numFmtId="164" fontId="0" fillId="0" borderId="6" xfId="0" applyNumberFormat="1" applyFont="1" applyFill="1" applyBorder="1" applyAlignment="1" applyProtection="1">
      <alignment horizontal="center"/>
      <protection hidden="1"/>
    </xf>
    <xf numFmtId="164" fontId="0" fillId="0" borderId="9" xfId="0" applyNumberFormat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0" fillId="0" borderId="0" xfId="0" applyFont="1" applyBorder="1"/>
    <xf numFmtId="0" fontId="0" fillId="0" borderId="0" xfId="0" applyFont="1" applyBorder="1" applyProtection="1">
      <protection hidden="1"/>
    </xf>
    <xf numFmtId="0" fontId="3" fillId="0" borderId="19" xfId="0" applyFont="1" applyFill="1" applyBorder="1" applyAlignment="1" applyProtection="1">
      <protection hidden="1"/>
    </xf>
    <xf numFmtId="0" fontId="0" fillId="0" borderId="8" xfId="0" applyFont="1" applyFill="1" applyBorder="1"/>
    <xf numFmtId="0" fontId="0" fillId="0" borderId="8" xfId="0" applyFont="1" applyBorder="1" applyProtection="1">
      <protection hidden="1"/>
    </xf>
    <xf numFmtId="0" fontId="6" fillId="0" borderId="8" xfId="0" applyFont="1" applyBorder="1" applyProtection="1">
      <protection hidden="1"/>
    </xf>
    <xf numFmtId="164" fontId="0" fillId="0" borderId="22" xfId="0" applyNumberFormat="1" applyFont="1" applyFill="1" applyBorder="1" applyAlignment="1" applyProtection="1">
      <alignment horizontal="center"/>
      <protection hidden="1"/>
    </xf>
    <xf numFmtId="0" fontId="0" fillId="0" borderId="22" xfId="0" applyFont="1" applyFill="1" applyBorder="1"/>
    <xf numFmtId="0" fontId="0" fillId="0" borderId="22" xfId="0" applyBorder="1"/>
    <xf numFmtId="0" fontId="0" fillId="0" borderId="22" xfId="0" applyFont="1" applyBorder="1"/>
    <xf numFmtId="0" fontId="16" fillId="0" borderId="5" xfId="0" applyFont="1" applyBorder="1" applyAlignment="1"/>
    <xf numFmtId="0" fontId="16" fillId="0" borderId="3" xfId="0" applyFont="1" applyBorder="1" applyAlignment="1"/>
    <xf numFmtId="0" fontId="0" fillId="0" borderId="1" xfId="0" applyFont="1" applyBorder="1"/>
    <xf numFmtId="0" fontId="0" fillId="0" borderId="12" xfId="0" applyFont="1" applyBorder="1"/>
    <xf numFmtId="0" fontId="0" fillId="0" borderId="3" xfId="0" applyFont="1" applyBorder="1" applyAlignment="1"/>
    <xf numFmtId="0" fontId="0" fillId="0" borderId="27" xfId="0" applyFont="1" applyBorder="1" applyAlignment="1"/>
    <xf numFmtId="0" fontId="0" fillId="0" borderId="28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31" xfId="0" applyFont="1" applyBorder="1"/>
    <xf numFmtId="0" fontId="0" fillId="0" borderId="31" xfId="0" applyFont="1" applyFill="1" applyBorder="1"/>
    <xf numFmtId="0" fontId="0" fillId="0" borderId="32" xfId="0" applyBorder="1"/>
    <xf numFmtId="0" fontId="16" fillId="0" borderId="33" xfId="0" applyFont="1" applyBorder="1" applyAlignment="1"/>
    <xf numFmtId="0" fontId="13" fillId="0" borderId="31" xfId="0" applyFont="1" applyFill="1" applyBorder="1" applyAlignment="1"/>
    <xf numFmtId="0" fontId="16" fillId="0" borderId="31" xfId="0" applyFont="1" applyBorder="1" applyAlignment="1"/>
    <xf numFmtId="0" fontId="13" fillId="0" borderId="32" xfId="0" applyFont="1" applyFill="1" applyBorder="1" applyAlignment="1"/>
    <xf numFmtId="0" fontId="16" fillId="0" borderId="27" xfId="0" applyFont="1" applyBorder="1" applyAlignment="1"/>
    <xf numFmtId="0" fontId="0" fillId="0" borderId="38" xfId="0" applyFont="1" applyBorder="1"/>
    <xf numFmtId="0" fontId="9" fillId="0" borderId="37" xfId="0" applyFont="1" applyBorder="1" applyAlignment="1">
      <alignment vertical="center"/>
    </xf>
    <xf numFmtId="0" fontId="7" fillId="0" borderId="41" xfId="0" applyFont="1" applyFill="1" applyBorder="1" applyAlignment="1" applyProtection="1">
      <alignment horizontal="center"/>
      <protection hidden="1"/>
    </xf>
    <xf numFmtId="0" fontId="7" fillId="0" borderId="42" xfId="0" applyFont="1" applyFill="1" applyBorder="1" applyAlignment="1" applyProtection="1">
      <alignment horizontal="center"/>
      <protection hidden="1"/>
    </xf>
    <xf numFmtId="164" fontId="0" fillId="0" borderId="41" xfId="0" applyNumberFormat="1" applyFont="1" applyFill="1" applyBorder="1" applyAlignment="1" applyProtection="1">
      <alignment horizontal="center"/>
      <protection hidden="1"/>
    </xf>
    <xf numFmtId="164" fontId="0" fillId="0" borderId="25" xfId="0" applyNumberFormat="1" applyFont="1" applyFill="1" applyBorder="1" applyAlignment="1" applyProtection="1">
      <alignment horizontal="center"/>
      <protection hidden="1"/>
    </xf>
    <xf numFmtId="164" fontId="0" fillId="0" borderId="28" xfId="0" applyNumberFormat="1" applyFont="1" applyFill="1" applyBorder="1" applyAlignment="1" applyProtection="1">
      <alignment horizontal="center"/>
      <protection hidden="1"/>
    </xf>
    <xf numFmtId="164" fontId="0" fillId="0" borderId="37" xfId="0" applyNumberFormat="1" applyFont="1" applyFill="1" applyBorder="1" applyAlignment="1" applyProtection="1">
      <alignment horizontal="center"/>
      <protection hidden="1"/>
    </xf>
    <xf numFmtId="0" fontId="0" fillId="0" borderId="43" xfId="0" applyFont="1" applyFill="1" applyBorder="1"/>
    <xf numFmtId="0" fontId="7" fillId="0" borderId="28" xfId="0" applyFont="1" applyFill="1" applyBorder="1" applyAlignment="1" applyProtection="1">
      <alignment horizontal="center"/>
      <protection hidden="1"/>
    </xf>
    <xf numFmtId="164" fontId="0" fillId="0" borderId="42" xfId="0" applyNumberFormat="1" applyFont="1" applyFill="1" applyBorder="1" applyAlignment="1" applyProtection="1">
      <alignment horizontal="center"/>
      <protection hidden="1"/>
    </xf>
    <xf numFmtId="0" fontId="0" fillId="0" borderId="37" xfId="0" applyFont="1" applyBorder="1" applyProtection="1">
      <protection hidden="1"/>
    </xf>
    <xf numFmtId="0" fontId="0" fillId="0" borderId="45" xfId="0" applyFont="1" applyFill="1" applyBorder="1"/>
    <xf numFmtId="14" fontId="0" fillId="0" borderId="0" xfId="0" applyNumberFormat="1"/>
    <xf numFmtId="0" fontId="7" fillId="0" borderId="23" xfId="0" applyFont="1" applyFill="1" applyBorder="1" applyAlignment="1" applyProtection="1">
      <alignment horizontal="center"/>
      <protection hidden="1"/>
    </xf>
    <xf numFmtId="14" fontId="0" fillId="0" borderId="0" xfId="0" applyNumberFormat="1" applyFont="1"/>
    <xf numFmtId="49" fontId="17" fillId="0" borderId="55" xfId="0" applyNumberFormat="1" applyFont="1" applyFill="1" applyBorder="1" applyAlignment="1">
      <alignment horizontal="left" vertical="center"/>
    </xf>
    <xf numFmtId="14" fontId="0" fillId="0" borderId="55" xfId="0" applyNumberFormat="1" applyFont="1" applyFill="1" applyBorder="1"/>
    <xf numFmtId="14" fontId="0" fillId="0" borderId="0" xfId="0" applyNumberFormat="1" applyFont="1" applyFill="1"/>
    <xf numFmtId="14" fontId="0" fillId="0" borderId="0" xfId="0" applyNumberFormat="1" applyFont="1" applyFill="1" applyBorder="1"/>
    <xf numFmtId="14" fontId="0" fillId="0" borderId="37" xfId="0" applyNumberFormat="1" applyFont="1" applyFill="1" applyBorder="1"/>
    <xf numFmtId="0" fontId="13" fillId="0" borderId="31" xfId="0" applyFont="1" applyFill="1" applyBorder="1" applyAlignment="1" applyProtection="1">
      <protection locked="0"/>
    </xf>
    <xf numFmtId="14" fontId="12" fillId="4" borderId="3" xfId="0" applyNumberFormat="1" applyFont="1" applyFill="1" applyBorder="1" applyAlignment="1" applyProtection="1">
      <alignment horizontal="right"/>
      <protection locked="0"/>
    </xf>
    <xf numFmtId="0" fontId="0" fillId="0" borderId="55" xfId="0" applyNumberFormat="1" applyFont="1" applyFill="1" applyBorder="1"/>
    <xf numFmtId="14" fontId="0" fillId="0" borderId="57" xfId="0" applyNumberFormat="1" applyFont="1" applyFill="1" applyBorder="1"/>
    <xf numFmtId="14" fontId="0" fillId="0" borderId="0" xfId="0" applyNumberFormat="1" applyFont="1" applyFill="1" applyBorder="1" applyAlignment="1">
      <alignment vertical="center"/>
    </xf>
    <xf numFmtId="164" fontId="18" fillId="5" borderId="1" xfId="0" applyNumberFormat="1" applyFont="1" applyFill="1" applyBorder="1" applyAlignment="1" applyProtection="1">
      <alignment horizontal="center" vertical="center"/>
      <protection hidden="1"/>
    </xf>
    <xf numFmtId="0" fontId="19" fillId="3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6" borderId="56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protection locked="0"/>
    </xf>
    <xf numFmtId="0" fontId="0" fillId="4" borderId="1" xfId="0" applyFont="1" applyFill="1" applyBorder="1" applyAlignment="1" applyProtection="1"/>
    <xf numFmtId="0" fontId="16" fillId="0" borderId="30" xfId="0" applyFont="1" applyBorder="1" applyAlignment="1" applyProtection="1">
      <protection hidden="1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8" fillId="0" borderId="39" xfId="0" applyFont="1" applyFill="1" applyBorder="1" applyAlignment="1" applyProtection="1">
      <alignment horizontal="center"/>
      <protection hidden="1"/>
    </xf>
    <xf numFmtId="0" fontId="8" fillId="0" borderId="14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0" fillId="4" borderId="10" xfId="0" applyFont="1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0" fillId="4" borderId="54" xfId="0" applyFont="1" applyFill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horizontal="center"/>
      <protection hidden="1"/>
    </xf>
    <xf numFmtId="0" fontId="8" fillId="0" borderId="44" xfId="0" applyFont="1" applyFill="1" applyBorder="1" applyAlignment="1" applyProtection="1">
      <alignment horizontal="center"/>
      <protection hidden="1"/>
    </xf>
    <xf numFmtId="0" fontId="8" fillId="0" borderId="18" xfId="0" applyFont="1" applyFill="1" applyBorder="1" applyAlignment="1" applyProtection="1">
      <alignment horizontal="center"/>
      <protection hidden="1"/>
    </xf>
    <xf numFmtId="0" fontId="8" fillId="0" borderId="40" xfId="0" applyFont="1" applyFill="1" applyBorder="1" applyAlignment="1" applyProtection="1">
      <alignment horizontal="center"/>
      <protection hidden="1"/>
    </xf>
    <xf numFmtId="0" fontId="14" fillId="0" borderId="2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20" xfId="0" applyFont="1" applyFill="1" applyBorder="1" applyAlignment="1" applyProtection="1">
      <alignment horizontal="center"/>
      <protection hidden="1"/>
    </xf>
    <xf numFmtId="0" fontId="15" fillId="0" borderId="1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4" borderId="3" xfId="0" applyFont="1" applyFill="1" applyBorder="1" applyAlignment="1" applyProtection="1">
      <alignment horizontal="left"/>
      <protection locked="0"/>
    </xf>
    <xf numFmtId="0" fontId="13" fillId="0" borderId="3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4" borderId="3" xfId="0" applyFont="1" applyFill="1" applyBorder="1" applyAlignment="1" applyProtection="1">
      <alignment horizontal="center"/>
      <protection locked="0"/>
    </xf>
    <xf numFmtId="0" fontId="13" fillId="4" borderId="31" xfId="0" applyFont="1" applyFill="1" applyBorder="1" applyAlignment="1" applyProtection="1">
      <alignment horizontal="center"/>
      <protection locked="0"/>
    </xf>
    <xf numFmtId="0" fontId="16" fillId="0" borderId="33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4" borderId="25" xfId="0" applyFont="1" applyFill="1" applyBorder="1" applyAlignment="1" applyProtection="1">
      <alignment horizontal="center"/>
      <protection locked="0"/>
    </xf>
    <xf numFmtId="0" fontId="0" fillId="4" borderId="26" xfId="0" applyFont="1" applyFill="1" applyBorder="1" applyAlignment="1" applyProtection="1">
      <alignment horizontal="center"/>
      <protection locked="0"/>
    </xf>
    <xf numFmtId="0" fontId="0" fillId="0" borderId="2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5" fontId="0" fillId="0" borderId="27" xfId="0" applyNumberFormat="1" applyFon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28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0" fillId="4" borderId="47" xfId="0" applyFont="1" applyFill="1" applyBorder="1" applyAlignment="1" applyProtection="1">
      <alignment horizontal="center"/>
      <protection locked="0"/>
    </xf>
    <xf numFmtId="0" fontId="0" fillId="4" borderId="52" xfId="0" applyFont="1" applyFill="1" applyBorder="1" applyAlignment="1" applyProtection="1">
      <alignment horizontal="center"/>
      <protection locked="0"/>
    </xf>
    <xf numFmtId="0" fontId="0" fillId="4" borderId="53" xfId="0" applyFont="1" applyFill="1" applyBorder="1" applyAlignment="1" applyProtection="1">
      <alignment horizontal="center"/>
      <protection locked="0"/>
    </xf>
    <xf numFmtId="0" fontId="0" fillId="4" borderId="27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4" borderId="49" xfId="0" applyFont="1" applyFill="1" applyBorder="1" applyAlignment="1" applyProtection="1">
      <alignment horizontal="center"/>
      <protection locked="0"/>
    </xf>
    <xf numFmtId="0" fontId="0" fillId="0" borderId="50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4" borderId="51" xfId="0" applyFont="1" applyFill="1" applyBorder="1" applyAlignment="1" applyProtection="1">
      <alignment horizontal="center"/>
      <protection locked="0"/>
    </xf>
    <xf numFmtId="0" fontId="0" fillId="4" borderId="50" xfId="0" applyFont="1" applyFill="1" applyBorder="1" applyAlignment="1" applyProtection="1">
      <alignment horizontal="center"/>
      <protection locked="0"/>
    </xf>
    <xf numFmtId="165" fontId="0" fillId="0" borderId="47" xfId="0" applyNumberFormat="1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4" borderId="49" xfId="0" applyFont="1" applyFill="1" applyBorder="1" applyAlignment="1" applyProtection="1">
      <alignment horizontal="center"/>
      <protection locked="0" hidden="1"/>
    </xf>
  </cellXfs>
  <cellStyles count="2">
    <cellStyle name="Normal" xfId="0" builtinId="0" customBuiltin="1"/>
    <cellStyle name="Normal 2" xfId="1" xr:uid="{00000000-0005-0000-0000-000003000000}"/>
  </cellStyles>
  <dxfs count="23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ck">
          <color auto="1"/>
        </right>
        <vertical style="thick">
          <color auto="1"/>
        </vertic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1" hidden="1"/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CC99FF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gray125">
          <fgColor theme="0"/>
          <bgColor theme="8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  <dxf>
      <font>
        <b/>
        <i val="0"/>
        <color rgb="FFC00000"/>
      </font>
      <fill>
        <patternFill patternType="gray125">
          <fgColor theme="0"/>
          <bgColor rgb="FFFFC000"/>
        </patternFill>
      </fill>
    </dxf>
  </dxfs>
  <tableStyles count="0" defaultTableStyle="TableStyleMedium2" defaultPivotStyle="PivotStyleLight16"/>
  <colors>
    <mruColors>
      <color rgb="FFCC99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C$2" max="2044" min="2021" page="10" val="202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1</xdr:row>
          <xdr:rowOff>38100</xdr:rowOff>
        </xdr:from>
        <xdr:to>
          <xdr:col>2</xdr:col>
          <xdr:colOff>0</xdr:colOff>
          <xdr:row>1</xdr:row>
          <xdr:rowOff>342900</xdr:rowOff>
        </xdr:to>
        <xdr:sp macro="" textlink="">
          <xdr:nvSpPr>
            <xdr:cNvPr id="1033" name="Spinner" descr="Use the spinner button to change calendar year or enter year in cell C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September" displayName="September" ref="S21:Y27" totalsRowShown="0" headerRowDxfId="125" dataDxfId="123" headerRowBorderDxfId="124" tableBorderDxfId="122" totalsRowBorderDxfId="121">
  <autoFilter ref="S21:Y27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OM" dataDxfId="120"/>
    <tableColumn id="2" xr3:uid="{00000000-0010-0000-0000-000002000000}" name="LUN" dataDxfId="119"/>
    <tableColumn id="3" xr3:uid="{00000000-0010-0000-0000-000003000000}" name="MAR" dataDxfId="118"/>
    <tableColumn id="4" xr3:uid="{00000000-0010-0000-0000-000004000000}" name="MIE" dataDxfId="117"/>
    <tableColumn id="5" xr3:uid="{00000000-0010-0000-0000-000005000000}" name="JUE" dataDxfId="116"/>
    <tableColumn id="6" xr3:uid="{00000000-0010-0000-0000-000006000000}" name="VIE" dataDxfId="115"/>
    <tableColumn id="7" xr3:uid="{00000000-0010-0000-0000-000007000000}" name="SAB" dataDxfId="1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September calendar in this table is auto updated with weekday names and dat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9000000}" name="February" displayName="February" ref="K11:Q17" totalsRowShown="0" headerRowDxfId="29" dataDxfId="27" headerRowBorderDxfId="28">
  <autoFilter ref="K11:Q17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900-000001000000}" name="DOM" dataDxfId="26"/>
    <tableColumn id="2" xr3:uid="{00000000-0010-0000-0900-000002000000}" name="LUN" dataDxfId="25"/>
    <tableColumn id="3" xr3:uid="{00000000-0010-0000-0900-000003000000}" name="MAR" dataDxfId="24"/>
    <tableColumn id="4" xr3:uid="{00000000-0010-0000-0900-000004000000}" name="MIE" dataDxfId="23"/>
    <tableColumn id="5" xr3:uid="{00000000-0010-0000-0900-000005000000}" name="JUE" dataDxfId="22"/>
    <tableColumn id="6" xr3:uid="{00000000-0010-0000-0900-000006000000}" name="VIE" dataDxfId="21"/>
    <tableColumn id="7" xr3:uid="{00000000-0010-0000-0900-000007000000}" name="SAB" dataDxfId="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February calendar in this table is auto updated with weekday names and dates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A000000}" name="January" displayName="January" ref="C11:I17" totalsRowShown="0" headerRowDxfId="19" dataDxfId="17" headerRowBorderDxfId="18">
  <autoFilter ref="C11:I17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A00-000001000000}" name="DOM" dataDxfId="16"/>
    <tableColumn id="2" xr3:uid="{00000000-0010-0000-0A00-000002000000}" name="LUN" dataDxfId="15"/>
    <tableColumn id="3" xr3:uid="{00000000-0010-0000-0A00-000003000000}" name="MAR" dataDxfId="14"/>
    <tableColumn id="4" xr3:uid="{00000000-0010-0000-0A00-000004000000}" name="MIE" dataDxfId="13"/>
    <tableColumn id="5" xr3:uid="{00000000-0010-0000-0A00-000005000000}" name="JUE" dataDxfId="12"/>
    <tableColumn id="6" xr3:uid="{00000000-0010-0000-0A00-000006000000}" name="VIE" dataDxfId="11"/>
    <tableColumn id="7" xr3:uid="{00000000-0010-0000-0A00-000007000000}" name="SAB" dataDxfId="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January calendar in this table is auto updated with weekday names and dat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B000000}" name="April" displayName="April" ref="AA11:AG17" totalsRowShown="0" headerRowDxfId="9" dataDxfId="7" headerRowBorderDxfId="8">
  <autoFilter ref="AA11:AG17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B00-000001000000}" name="DOM" dataDxfId="6"/>
    <tableColumn id="2" xr3:uid="{00000000-0010-0000-0B00-000002000000}" name="LUN" dataDxfId="5"/>
    <tableColumn id="3" xr3:uid="{00000000-0010-0000-0B00-000003000000}" name="MAR" dataDxfId="4"/>
    <tableColumn id="4" xr3:uid="{00000000-0010-0000-0B00-000004000000}" name="MIE" dataDxfId="3"/>
    <tableColumn id="5" xr3:uid="{00000000-0010-0000-0B00-000005000000}" name="JUE" dataDxfId="2"/>
    <tableColumn id="6" xr3:uid="{00000000-0010-0000-0B00-000006000000}" name="VIE" dataDxfId="1"/>
    <tableColumn id="7" xr3:uid="{00000000-0010-0000-0B00-000007000000}" name="SAB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April calendar in this table is auto updated with weekday names and dat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October" displayName="October" ref="AA21:AG27" totalsRowShown="0" headerRowDxfId="113" dataDxfId="111" headerRowBorderDxfId="112" tableBorderDxfId="110">
  <autoFilter ref="AA21:AG27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OM" dataDxfId="109"/>
    <tableColumn id="2" xr3:uid="{00000000-0010-0000-0100-000002000000}" name="LUN" dataDxfId="108"/>
    <tableColumn id="3" xr3:uid="{00000000-0010-0000-0100-000003000000}" name="MAR" dataDxfId="107"/>
    <tableColumn id="4" xr3:uid="{00000000-0010-0000-0100-000004000000}" name="MIE" dataDxfId="106"/>
    <tableColumn id="5" xr3:uid="{00000000-0010-0000-0100-000005000000}" name="JUE" dataDxfId="105"/>
    <tableColumn id="6" xr3:uid="{00000000-0010-0000-0100-000006000000}" name="VIE" dataDxfId="104"/>
    <tableColumn id="7" xr3:uid="{00000000-0010-0000-0100-000007000000}" name="SAB" dataDxfId="10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October calendar in this table is auto updated with weekday names and dat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December" displayName="December" ref="AQ21:AW27" totalsRowShown="0" headerRowDxfId="102" dataDxfId="100" headerRowBorderDxfId="101" tableBorderDxfId="99">
  <autoFilter ref="AQ21:AW27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200-000001000000}" name="DOM" dataDxfId="98"/>
    <tableColumn id="2" xr3:uid="{00000000-0010-0000-0200-000002000000}" name="LUN" dataDxfId="97"/>
    <tableColumn id="3" xr3:uid="{00000000-0010-0000-0200-000003000000}" name="MAR" dataDxfId="96"/>
    <tableColumn id="4" xr3:uid="{00000000-0010-0000-0200-000004000000}" name="MIE" dataDxfId="95"/>
    <tableColumn id="5" xr3:uid="{00000000-0010-0000-0200-000005000000}" name="JUE" dataDxfId="94"/>
    <tableColumn id="6" xr3:uid="{00000000-0010-0000-0200-000006000000}" name="VIE" dataDxfId="93"/>
    <tableColumn id="7" xr3:uid="{00000000-0010-0000-0200-000007000000}" name="SAB" dataDxfId="9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December calendar in this table is auto updated with weekday names and dat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November" displayName="November" ref="AI21:AO27" totalsRowShown="0" headerRowDxfId="91" dataDxfId="89" headerRowBorderDxfId="90" tableBorderDxfId="88">
  <autoFilter ref="AI21:AO27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300-000001000000}" name="DOM" dataDxfId="87"/>
    <tableColumn id="2" xr3:uid="{00000000-0010-0000-0300-000002000000}" name="LUN" dataDxfId="86"/>
    <tableColumn id="3" xr3:uid="{00000000-0010-0000-0300-000003000000}" name="MAR" dataDxfId="85"/>
    <tableColumn id="4" xr3:uid="{00000000-0010-0000-0300-000004000000}" name="MIE" dataDxfId="84"/>
    <tableColumn id="5" xr3:uid="{00000000-0010-0000-0300-000005000000}" name="JUE" dataDxfId="83"/>
    <tableColumn id="6" xr3:uid="{00000000-0010-0000-0300-000006000000}" name="VIE" dataDxfId="82"/>
    <tableColumn id="7" xr3:uid="{00000000-0010-0000-0300-000007000000}" name="SAB" dataDxfId="8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November calendar in this table is auto updated with weekday names and dat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August" displayName="August" ref="K21:Q27" totalsRowShown="0" headerRowDxfId="80" dataDxfId="78" headerRowBorderDxfId="79" tableBorderDxfId="77">
  <autoFilter ref="K21:Q27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400-000001000000}" name="DOM" dataDxfId="76"/>
    <tableColumn id="2" xr3:uid="{00000000-0010-0000-0400-000002000000}" name="LUN" dataDxfId="75"/>
    <tableColumn id="3" xr3:uid="{00000000-0010-0000-0400-000003000000}" name="MAR" dataDxfId="74"/>
    <tableColumn id="4" xr3:uid="{00000000-0010-0000-0400-000004000000}" name="MIE" dataDxfId="73"/>
    <tableColumn id="5" xr3:uid="{00000000-0010-0000-0400-000005000000}" name="JUE" dataDxfId="72"/>
    <tableColumn id="6" xr3:uid="{00000000-0010-0000-0400-000006000000}" name="VIE" dataDxfId="71"/>
    <tableColumn id="7" xr3:uid="{00000000-0010-0000-0400-000007000000}" name="SAB" dataDxfId="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August calendar in this table is auto updated with weekday names and dat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July" displayName="July" ref="C21:I27" totalsRowShown="0" headerRowDxfId="69" dataDxfId="67" headerRowBorderDxfId="68">
  <autoFilter ref="C21:I27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DOM" dataDxfId="66"/>
    <tableColumn id="2" xr3:uid="{00000000-0010-0000-0500-000002000000}" name="LUN" dataDxfId="65"/>
    <tableColumn id="3" xr3:uid="{00000000-0010-0000-0500-000003000000}" name="MAR" dataDxfId="64"/>
    <tableColumn id="4" xr3:uid="{00000000-0010-0000-0500-000004000000}" name="MIE" dataDxfId="63"/>
    <tableColumn id="5" xr3:uid="{00000000-0010-0000-0500-000005000000}" name="JUE" dataDxfId="62"/>
    <tableColumn id="6" xr3:uid="{00000000-0010-0000-0500-000006000000}" name="VIE" dataDxfId="61"/>
    <tableColumn id="7" xr3:uid="{00000000-0010-0000-0500-000007000000}" name="SAB" dataDxfId="6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July calendar in this table is auto updated with weekday names and dat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June" displayName="June" ref="AQ11:AW17" totalsRowShown="0" headerRowDxfId="59" dataDxfId="57" headerRowBorderDxfId="58">
  <autoFilter ref="AQ11:AW17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600-000001000000}" name="DOM" dataDxfId="56"/>
    <tableColumn id="2" xr3:uid="{00000000-0010-0000-0600-000002000000}" name="LUN" dataDxfId="55"/>
    <tableColumn id="3" xr3:uid="{00000000-0010-0000-0600-000003000000}" name="MAR" dataDxfId="54"/>
    <tableColumn id="4" xr3:uid="{00000000-0010-0000-0600-000004000000}" name="MIE" dataDxfId="53"/>
    <tableColumn id="5" xr3:uid="{00000000-0010-0000-0600-000005000000}" name="JUE" dataDxfId="52"/>
    <tableColumn id="6" xr3:uid="{00000000-0010-0000-0600-000006000000}" name="VIE" dataDxfId="51"/>
    <tableColumn id="7" xr3:uid="{00000000-0010-0000-0600-000007000000}" name="SAB" dataDxfId="5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June calendar in this table is auto updated with weekday names and dat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May" displayName="May" ref="AI11:AO17" totalsRowShown="0" headerRowDxfId="49" dataDxfId="47" headerRowBorderDxfId="48">
  <autoFilter ref="AI11:AO1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700-000001000000}" name="DOM" dataDxfId="46"/>
    <tableColumn id="2" xr3:uid="{00000000-0010-0000-0700-000002000000}" name="LUN" dataDxfId="45"/>
    <tableColumn id="3" xr3:uid="{00000000-0010-0000-0700-000003000000}" name="MAR" dataDxfId="44"/>
    <tableColumn id="4" xr3:uid="{00000000-0010-0000-0700-000004000000}" name="MIE" dataDxfId="43"/>
    <tableColumn id="5" xr3:uid="{00000000-0010-0000-0700-000005000000}" name="JUE" dataDxfId="42"/>
    <tableColumn id="6" xr3:uid="{00000000-0010-0000-0700-000006000000}" name="VIE" dataDxfId="41"/>
    <tableColumn id="7" xr3:uid="{00000000-0010-0000-0700-000007000000}" name="SAB" dataDxfId="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May calendar in this table is auto updated with weekday names and dat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March" displayName="March" ref="S11:Y17" totalsRowShown="0" headerRowDxfId="39" dataDxfId="37" headerRowBorderDxfId="38">
  <autoFilter ref="S11:Y17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800-000001000000}" name="DOM" dataDxfId="36"/>
    <tableColumn id="2" xr3:uid="{00000000-0010-0000-0800-000002000000}" name="LUN" dataDxfId="35"/>
    <tableColumn id="3" xr3:uid="{00000000-0010-0000-0800-000003000000}" name="MAR" dataDxfId="34"/>
    <tableColumn id="4" xr3:uid="{00000000-0010-0000-0800-000004000000}" name="MIE" dataDxfId="33"/>
    <tableColumn id="5" xr3:uid="{00000000-0010-0000-0800-000005000000}" name="JUE" dataDxfId="32"/>
    <tableColumn id="6" xr3:uid="{00000000-0010-0000-0800-000006000000}" name="VIE" dataDxfId="31"/>
    <tableColumn id="7" xr3:uid="{00000000-0010-0000-0800-000007000000}" name="SAB" dataDxfId="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March calendar in this table is auto updated with weekday names and dates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Small Business Calendar 2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8FB08C"/>
      </a:hlink>
      <a:folHlink>
        <a:srgbClr val="694F0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13" Type="http://schemas.openxmlformats.org/officeDocument/2006/relationships/table" Target="../tables/table9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3.xml"/><Relationship Id="rId12" Type="http://schemas.openxmlformats.org/officeDocument/2006/relationships/table" Target="../tables/table8.xml"/><Relationship Id="rId2" Type="http://schemas.openxmlformats.org/officeDocument/2006/relationships/drawing" Target="../drawings/drawing1.xml"/><Relationship Id="rId16" Type="http://schemas.openxmlformats.org/officeDocument/2006/relationships/table" Target="../tables/table1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11" Type="http://schemas.openxmlformats.org/officeDocument/2006/relationships/table" Target="../tables/table7.xml"/><Relationship Id="rId5" Type="http://schemas.openxmlformats.org/officeDocument/2006/relationships/table" Target="../tables/table1.xml"/><Relationship Id="rId15" Type="http://schemas.openxmlformats.org/officeDocument/2006/relationships/table" Target="../tables/table11.xml"/><Relationship Id="rId10" Type="http://schemas.openxmlformats.org/officeDocument/2006/relationships/table" Target="../tables/table6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5.xml"/><Relationship Id="rId1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8"/>
    <pageSetUpPr fitToPage="1"/>
  </sheetPr>
  <dimension ref="A1:BF62"/>
  <sheetViews>
    <sheetView showGridLines="0" tabSelected="1" topLeftCell="B1" zoomScale="110" zoomScaleNormal="110" workbookViewId="0">
      <selection activeCell="AW14" sqref="AW14"/>
    </sheetView>
  </sheetViews>
  <sheetFormatPr defaultColWidth="9.42578125" defaultRowHeight="10.199999999999999" x14ac:dyDescent="0.2"/>
  <cols>
    <col min="1" max="1" width="3" style="1" customWidth="1"/>
    <col min="2" max="2" width="5.140625" style="1" customWidth="1"/>
    <col min="3" max="3" width="5.28515625" style="1" customWidth="1"/>
    <col min="4" max="9" width="5" style="1" customWidth="1"/>
    <col min="10" max="10" width="1.42578125" style="1" customWidth="1"/>
    <col min="11" max="17" width="5" style="1" customWidth="1"/>
    <col min="18" max="18" width="1.42578125" style="3" customWidth="1"/>
    <col min="19" max="19" width="5" customWidth="1"/>
    <col min="20" max="25" width="5" style="1" customWidth="1"/>
    <col min="26" max="26" width="1.42578125" style="1" customWidth="1"/>
    <col min="27" max="33" width="5" style="1" customWidth="1"/>
    <col min="34" max="34" width="1.42578125" style="1" customWidth="1"/>
    <col min="35" max="41" width="5" style="1" customWidth="1"/>
    <col min="42" max="42" width="1.42578125" style="1" customWidth="1"/>
    <col min="43" max="51" width="5" style="1" customWidth="1"/>
    <col min="52" max="52" width="14.140625" style="1" customWidth="1"/>
    <col min="53" max="53" width="11.7109375" style="1" hidden="1" customWidth="1"/>
    <col min="54" max="54" width="7.28515625" style="1" hidden="1" customWidth="1"/>
    <col min="55" max="55" width="29.28515625" style="1" bestFit="1" customWidth="1"/>
    <col min="56" max="57" width="5" style="1" customWidth="1"/>
    <col min="58" max="59" width="9.28515625" style="1" customWidth="1"/>
    <col min="60" max="60" width="9.42578125" style="1" customWidth="1"/>
    <col min="61" max="16384" width="9.42578125" style="1"/>
  </cols>
  <sheetData>
    <row r="1" spans="2:58" x14ac:dyDescent="0.2">
      <c r="L1" s="159"/>
      <c r="M1" s="159"/>
      <c r="N1" s="159"/>
      <c r="O1" s="159"/>
      <c r="P1" s="159"/>
    </row>
    <row r="2" spans="2:58" ht="30" customHeight="1" x14ac:dyDescent="0.2">
      <c r="B2" s="3"/>
      <c r="C2" s="99">
        <v>2022</v>
      </c>
      <c r="D2" s="99"/>
      <c r="E2" s="99"/>
      <c r="F2" s="99"/>
      <c r="G2" s="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</row>
    <row r="4" spans="2:58" ht="9.6" customHeight="1" thickBot="1" x14ac:dyDescent="0.5">
      <c r="B4" s="6"/>
    </row>
    <row r="5" spans="2:58" ht="15.6" customHeight="1" thickTop="1" thickBot="1" x14ac:dyDescent="0.3">
      <c r="C5" s="98" t="str">
        <f>"AAA-89 (REV/2021) RECORD DE LICENCIAS "&amp;CalendarYear</f>
        <v>AAA-89 (REV/2021) RECORD DE LICENCIAS 2022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  <c r="S5" s="60"/>
      <c r="T5" s="61" t="s">
        <v>22</v>
      </c>
      <c r="U5" s="58"/>
      <c r="V5" s="58"/>
      <c r="W5" s="125"/>
      <c r="X5" s="125"/>
      <c r="Y5" s="125"/>
      <c r="Z5" s="125"/>
      <c r="AA5" s="62"/>
      <c r="AB5" s="63" t="s">
        <v>26</v>
      </c>
      <c r="AC5" s="58"/>
      <c r="AD5" s="87"/>
      <c r="AE5" s="125"/>
      <c r="AF5" s="125"/>
      <c r="AG5" s="125"/>
      <c r="AH5" s="125"/>
      <c r="AI5" s="64"/>
      <c r="AJ5" s="126" t="s">
        <v>29</v>
      </c>
      <c r="AK5" s="127"/>
      <c r="AL5" s="127"/>
      <c r="AM5" s="127"/>
      <c r="AN5" s="127"/>
      <c r="AO5" s="127"/>
      <c r="AP5" s="127"/>
      <c r="AQ5" s="127"/>
      <c r="AR5" s="127"/>
      <c r="AS5" s="128"/>
      <c r="AT5" s="133" t="s">
        <v>31</v>
      </c>
      <c r="AU5" s="133"/>
      <c r="AV5" s="133" t="s">
        <v>32</v>
      </c>
      <c r="AW5" s="134"/>
      <c r="AZ5" s="82" t="s">
        <v>73</v>
      </c>
      <c r="BA5" s="82"/>
      <c r="BB5" s="82"/>
      <c r="BC5" s="82" t="s">
        <v>92</v>
      </c>
    </row>
    <row r="6" spans="2:58" ht="14.4" customHeight="1" x14ac:dyDescent="0.25">
      <c r="C6" s="65" t="s">
        <v>19</v>
      </c>
      <c r="D6" s="18"/>
      <c r="E6" s="18"/>
      <c r="F6" s="18"/>
      <c r="G6" s="21"/>
      <c r="H6" s="124"/>
      <c r="I6" s="124"/>
      <c r="J6" s="124"/>
      <c r="K6" s="124"/>
      <c r="L6" s="39"/>
      <c r="M6" s="50" t="s">
        <v>23</v>
      </c>
      <c r="N6" s="39"/>
      <c r="O6" s="39"/>
      <c r="P6" s="124"/>
      <c r="Q6" s="124"/>
      <c r="R6" s="19"/>
      <c r="S6" s="20"/>
      <c r="T6" s="49" t="s">
        <v>28</v>
      </c>
      <c r="U6" s="18"/>
      <c r="V6" s="18"/>
      <c r="W6" s="18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8"/>
      <c r="AJ6" s="129" t="s">
        <v>30</v>
      </c>
      <c r="AK6" s="130"/>
      <c r="AL6" s="130"/>
      <c r="AM6" s="130"/>
      <c r="AN6" s="130"/>
      <c r="AO6" s="130"/>
      <c r="AP6" s="130"/>
      <c r="AQ6" s="130"/>
      <c r="AR6" s="130"/>
      <c r="AS6" s="115"/>
      <c r="AT6" s="114">
        <v>4.33</v>
      </c>
      <c r="AU6" s="115"/>
      <c r="AV6" s="131">
        <v>5.19</v>
      </c>
      <c r="AW6" s="132"/>
      <c r="AZ6" s="83">
        <f>DATE(CalendarYear,1,1)</f>
        <v>44562</v>
      </c>
      <c r="BA6" s="89">
        <f>IFERROR(WEEKDAY(AZ6,1),"")</f>
        <v>7</v>
      </c>
      <c r="BB6" s="83">
        <f>IF(BA6=1,AZ6+1,0)</f>
        <v>0</v>
      </c>
      <c r="BC6" s="83" t="s">
        <v>74</v>
      </c>
    </row>
    <row r="7" spans="2:58" ht="14.4" customHeight="1" x14ac:dyDescent="0.25">
      <c r="C7" s="65" t="s">
        <v>20</v>
      </c>
      <c r="D7" s="18"/>
      <c r="E7" s="21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21"/>
      <c r="S7" s="21"/>
      <c r="T7" s="49" t="s">
        <v>24</v>
      </c>
      <c r="U7" s="18"/>
      <c r="V7" s="18"/>
      <c r="W7" s="18"/>
      <c r="X7" s="18"/>
      <c r="Y7" s="18"/>
      <c r="Z7" s="18"/>
      <c r="AA7" s="124"/>
      <c r="AB7" s="124"/>
      <c r="AC7" s="124"/>
      <c r="AD7" s="124"/>
      <c r="AE7" s="124"/>
      <c r="AF7" s="124"/>
      <c r="AG7" s="124"/>
      <c r="AH7" s="124"/>
      <c r="AI7" s="18"/>
      <c r="AJ7" s="129" t="s">
        <v>33</v>
      </c>
      <c r="AK7" s="130"/>
      <c r="AL7" s="130"/>
      <c r="AM7" s="130"/>
      <c r="AN7" s="130"/>
      <c r="AO7" s="130"/>
      <c r="AP7" s="130"/>
      <c r="AQ7" s="130"/>
      <c r="AR7" s="130"/>
      <c r="AS7" s="115"/>
      <c r="AT7" s="131">
        <v>2.31</v>
      </c>
      <c r="AU7" s="131"/>
      <c r="AV7" s="131">
        <v>2.77</v>
      </c>
      <c r="AW7" s="132"/>
      <c r="AZ7" s="84">
        <f>DATE(CalendarYear,1,6)</f>
        <v>44567</v>
      </c>
      <c r="BA7" s="2">
        <f t="shared" ref="BA7:BA13" si="0">IFERROR(WEEKDAY(AZ7,1),"")</f>
        <v>5</v>
      </c>
      <c r="BB7" s="85">
        <f t="shared" ref="BB7:BB13" si="1">IF(BA7=1,AZ7+1,0)</f>
        <v>0</v>
      </c>
      <c r="BC7" s="1" t="s">
        <v>75</v>
      </c>
    </row>
    <row r="8" spans="2:58" ht="13.8" x14ac:dyDescent="0.25">
      <c r="C8" s="65" t="s">
        <v>21</v>
      </c>
      <c r="D8" s="18"/>
      <c r="E8" s="18"/>
      <c r="F8" s="18"/>
      <c r="G8" s="18"/>
      <c r="H8" s="21"/>
      <c r="I8" s="124"/>
      <c r="J8" s="124"/>
      <c r="K8" s="124"/>
      <c r="L8" s="50" t="s">
        <v>27</v>
      </c>
      <c r="M8" s="19"/>
      <c r="N8" s="19"/>
      <c r="O8" s="121"/>
      <c r="P8" s="121"/>
      <c r="Q8" s="121"/>
      <c r="R8" s="122"/>
      <c r="S8" s="123"/>
      <c r="T8" s="49" t="s">
        <v>25</v>
      </c>
      <c r="U8" s="18"/>
      <c r="V8" s="18"/>
      <c r="W8" s="18"/>
      <c r="X8" s="18"/>
      <c r="Y8" s="18"/>
      <c r="Z8" s="18"/>
      <c r="AA8" s="18"/>
      <c r="AB8" s="18"/>
      <c r="AC8" s="18"/>
      <c r="AD8" s="124"/>
      <c r="AE8" s="124"/>
      <c r="AF8" s="124"/>
      <c r="AG8" s="124"/>
      <c r="AH8" s="124"/>
      <c r="AI8" s="18"/>
      <c r="AJ8" s="129" t="s">
        <v>34</v>
      </c>
      <c r="AK8" s="130"/>
      <c r="AL8" s="130"/>
      <c r="AM8" s="130"/>
      <c r="AN8" s="130"/>
      <c r="AO8" s="130"/>
      <c r="AP8" s="130"/>
      <c r="AQ8" s="130"/>
      <c r="AR8" s="130"/>
      <c r="AS8" s="115"/>
      <c r="AT8" s="131">
        <v>4.33</v>
      </c>
      <c r="AU8" s="131"/>
      <c r="AV8" s="131">
        <v>3.46</v>
      </c>
      <c r="AW8" s="132"/>
      <c r="AZ8" s="84">
        <f>IF(D12="",(MAX(D12:D15)),D14)</f>
        <v>44578</v>
      </c>
      <c r="BA8" s="2">
        <f t="shared" si="0"/>
        <v>2</v>
      </c>
      <c r="BB8" s="85">
        <f t="shared" si="1"/>
        <v>0</v>
      </c>
      <c r="BC8" s="1" t="s">
        <v>81</v>
      </c>
    </row>
    <row r="9" spans="2:58" ht="15" customHeight="1" thickBot="1" x14ac:dyDescent="0.25">
      <c r="B9" s="56"/>
      <c r="C9" s="67"/>
      <c r="D9" s="57"/>
      <c r="E9" s="57"/>
      <c r="F9" s="57"/>
      <c r="G9" s="57"/>
      <c r="H9" s="57"/>
      <c r="I9" s="57"/>
      <c r="J9" s="57"/>
      <c r="K9" s="2"/>
      <c r="L9" s="2"/>
      <c r="M9" s="2"/>
      <c r="N9" s="2"/>
      <c r="O9" s="2"/>
      <c r="P9" s="2"/>
      <c r="Q9" s="2"/>
      <c r="R9" s="2"/>
      <c r="S9" s="38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66"/>
      <c r="AZ9" s="84">
        <f>IF(L12="",(MAX(L12:L15)),L14)</f>
        <v>44613</v>
      </c>
      <c r="BA9" s="2">
        <f t="shared" si="0"/>
        <v>2</v>
      </c>
      <c r="BB9" s="85">
        <f t="shared" si="1"/>
        <v>0</v>
      </c>
      <c r="BC9" s="1" t="s">
        <v>76</v>
      </c>
    </row>
    <row r="10" spans="2:58" ht="15" customHeight="1" thickTop="1" thickBot="1" x14ac:dyDescent="0.35">
      <c r="B10" s="2"/>
      <c r="C10" s="100" t="s">
        <v>0</v>
      </c>
      <c r="D10" s="101"/>
      <c r="E10" s="101"/>
      <c r="F10" s="101"/>
      <c r="G10" s="101"/>
      <c r="H10" s="101"/>
      <c r="I10" s="101"/>
      <c r="J10" s="41"/>
      <c r="K10" s="101" t="s">
        <v>1</v>
      </c>
      <c r="L10" s="101"/>
      <c r="M10" s="101"/>
      <c r="N10" s="101"/>
      <c r="O10" s="101"/>
      <c r="P10" s="101"/>
      <c r="Q10" s="101"/>
      <c r="R10" s="41"/>
      <c r="S10" s="101" t="s">
        <v>2</v>
      </c>
      <c r="T10" s="101"/>
      <c r="U10" s="101"/>
      <c r="V10" s="101"/>
      <c r="W10" s="101"/>
      <c r="X10" s="101"/>
      <c r="Y10" s="101"/>
      <c r="Z10" s="41"/>
      <c r="AA10" s="101" t="s">
        <v>3</v>
      </c>
      <c r="AB10" s="101"/>
      <c r="AC10" s="101"/>
      <c r="AD10" s="101"/>
      <c r="AE10" s="101"/>
      <c r="AF10" s="101"/>
      <c r="AG10" s="101"/>
      <c r="AH10" s="41"/>
      <c r="AI10" s="101" t="s">
        <v>4</v>
      </c>
      <c r="AJ10" s="101"/>
      <c r="AK10" s="101"/>
      <c r="AL10" s="101"/>
      <c r="AM10" s="101"/>
      <c r="AN10" s="101"/>
      <c r="AO10" s="101"/>
      <c r="AP10" s="41"/>
      <c r="AQ10" s="101" t="s">
        <v>5</v>
      </c>
      <c r="AR10" s="101"/>
      <c r="AS10" s="101"/>
      <c r="AT10" s="101"/>
      <c r="AU10" s="101"/>
      <c r="AV10" s="101"/>
      <c r="AW10" s="110"/>
      <c r="AX10" s="85"/>
      <c r="AY10" s="85"/>
      <c r="AZ10" s="84">
        <f>DATE(CalendarYear,3,2)</f>
        <v>44622</v>
      </c>
      <c r="BA10" s="2">
        <f t="shared" si="0"/>
        <v>4</v>
      </c>
      <c r="BB10" s="85">
        <f t="shared" si="1"/>
        <v>0</v>
      </c>
      <c r="BC10" s="1" t="s">
        <v>77</v>
      </c>
      <c r="BD10" s="85"/>
      <c r="BE10" s="85"/>
      <c r="BF10" s="2"/>
    </row>
    <row r="11" spans="2:58" ht="15" customHeight="1" thickTop="1" x14ac:dyDescent="0.3">
      <c r="B11" s="2"/>
      <c r="C11" s="68" t="s">
        <v>12</v>
      </c>
      <c r="D11" s="30" t="s">
        <v>13</v>
      </c>
      <c r="E11" s="30" t="s">
        <v>14</v>
      </c>
      <c r="F11" s="30" t="s">
        <v>15</v>
      </c>
      <c r="G11" s="30" t="s">
        <v>16</v>
      </c>
      <c r="H11" s="30" t="s">
        <v>17</v>
      </c>
      <c r="I11" s="30" t="s">
        <v>18</v>
      </c>
      <c r="J11" s="11"/>
      <c r="K11" s="30" t="s">
        <v>12</v>
      </c>
      <c r="L11" s="30" t="s">
        <v>13</v>
      </c>
      <c r="M11" s="30" t="s">
        <v>14</v>
      </c>
      <c r="N11" s="30" t="s">
        <v>15</v>
      </c>
      <c r="O11" s="30" t="s">
        <v>16</v>
      </c>
      <c r="P11" s="30" t="s">
        <v>17</v>
      </c>
      <c r="Q11" s="30" t="s">
        <v>18</v>
      </c>
      <c r="R11" s="2"/>
      <c r="S11" s="30" t="s">
        <v>12</v>
      </c>
      <c r="T11" s="30" t="s">
        <v>13</v>
      </c>
      <c r="U11" s="30" t="s">
        <v>14</v>
      </c>
      <c r="V11" s="30" t="s">
        <v>15</v>
      </c>
      <c r="W11" s="30" t="s">
        <v>16</v>
      </c>
      <c r="X11" s="30" t="s">
        <v>17</v>
      </c>
      <c r="Y11" s="30" t="s">
        <v>18</v>
      </c>
      <c r="Z11" s="7"/>
      <c r="AA11" s="30" t="s">
        <v>12</v>
      </c>
      <c r="AB11" s="30" t="s">
        <v>13</v>
      </c>
      <c r="AC11" s="30" t="s">
        <v>14</v>
      </c>
      <c r="AD11" s="30" t="s">
        <v>15</v>
      </c>
      <c r="AE11" s="30" t="s">
        <v>16</v>
      </c>
      <c r="AF11" s="30" t="s">
        <v>17</v>
      </c>
      <c r="AG11" s="30" t="s">
        <v>18</v>
      </c>
      <c r="AH11" s="10"/>
      <c r="AI11" s="30" t="s">
        <v>12</v>
      </c>
      <c r="AJ11" s="30" t="s">
        <v>13</v>
      </c>
      <c r="AK11" s="30" t="s">
        <v>14</v>
      </c>
      <c r="AL11" s="30" t="s">
        <v>15</v>
      </c>
      <c r="AM11" s="30" t="s">
        <v>16</v>
      </c>
      <c r="AN11" s="30" t="s">
        <v>17</v>
      </c>
      <c r="AO11" s="30" t="s">
        <v>18</v>
      </c>
      <c r="AP11" s="10"/>
      <c r="AQ11" s="30" t="s">
        <v>12</v>
      </c>
      <c r="AR11" s="30" t="s">
        <v>13</v>
      </c>
      <c r="AS11" s="30" t="s">
        <v>14</v>
      </c>
      <c r="AT11" s="30" t="s">
        <v>15</v>
      </c>
      <c r="AU11" s="30" t="s">
        <v>16</v>
      </c>
      <c r="AV11" s="30" t="s">
        <v>17</v>
      </c>
      <c r="AW11" s="69" t="s">
        <v>18</v>
      </c>
      <c r="AX11" s="85"/>
      <c r="AY11" s="85"/>
      <c r="AZ11" s="84">
        <f>DATE(CalendarYear,3,22)</f>
        <v>44642</v>
      </c>
      <c r="BA11" s="2">
        <f t="shared" si="0"/>
        <v>3</v>
      </c>
      <c r="BB11" s="85">
        <f t="shared" si="1"/>
        <v>0</v>
      </c>
      <c r="BC11" s="1" t="s">
        <v>78</v>
      </c>
      <c r="BD11" s="85"/>
      <c r="BE11" s="85"/>
      <c r="BF11" s="2"/>
    </row>
    <row r="12" spans="2:58" ht="15" customHeight="1" x14ac:dyDescent="0.2">
      <c r="B12" s="2"/>
      <c r="C12" s="70" t="str">
        <f>IF(DAY(JanSun1)=1,"",IF(AND(YEAR(JanSun1+1)=CalendarYear,MONTH(JanSun1+1)=1),JanSun1+1,""))</f>
        <v/>
      </c>
      <c r="D12" s="28" t="str">
        <f>IF(DAY(JanSun1)=1,"",IF(AND(YEAR(JanSun1+2)=CalendarYear,MONTH(JanSun1+2)=1),JanSun1+2,""))</f>
        <v/>
      </c>
      <c r="E12" s="28" t="str">
        <f>IF(DAY(JanSun1)=1,"",IF(AND(YEAR(JanSun1+3)=CalendarYear,MONTH(JanSun1+3)=1),JanSun1+3,""))</f>
        <v/>
      </c>
      <c r="F12" s="28" t="str">
        <f>IF(DAY(JanSun1)=1,"",IF(AND(YEAR(JanSun1+4)=CalendarYear,MONTH(JanSun1+4)=1),JanSun1+4,""))</f>
        <v/>
      </c>
      <c r="G12" s="28" t="str">
        <f>IF(DAY(JanSun1)=1,"",IF(AND(YEAR(JanSun1+5)=CalendarYear,MONTH(JanSun1+5)=1),JanSun1+5,""))</f>
        <v/>
      </c>
      <c r="H12" s="28" t="str">
        <f>IF(DAY(JanSun1)=1,"",IF(AND(YEAR(JanSun1+6)=CalendarYear,MONTH(JanSun1+6)=1),JanSun1+6,""))</f>
        <v/>
      </c>
      <c r="I12" s="28">
        <f>IF(DAY(JanSun1)=1,IF(AND(YEAR(JanSun1)=CalendarYear,MONTH(JanSun1)=1),JanSun1,""),IF(AND(YEAR(JanSun1+7)=CalendarYear,MONTH(JanSun1+7)=1),JanSun1+7,""))</f>
        <v>44562</v>
      </c>
      <c r="J12" s="13"/>
      <c r="K12" s="27" t="str">
        <f>IF(DAY(FebSun1)=1,"",IF(AND(YEAR(FebSun1+1)=CalendarYear,MONTH(FebSun1+1)=2),FebSun1+1,""))</f>
        <v/>
      </c>
      <c r="L12" s="27" t="str">
        <f>IF(DAY(FebSun1)=1,"",IF(AND(YEAR(FebSun1+2)=CalendarYear,MONTH(FebSun1+2)=2),FebSun1+2,""))</f>
        <v/>
      </c>
      <c r="M12" s="27">
        <f>IF(DAY(FebSun1)=1,"",IF(AND(YEAR(FebSun1+3)=CalendarYear,MONTH(FebSun1+3)=2),FebSun1+3,""))</f>
        <v>44593</v>
      </c>
      <c r="N12" s="27">
        <f>IF(DAY(FebSun1)=1,"",IF(AND(YEAR(FebSun1+4)=CalendarYear,MONTH(FebSun1+4)=2),FebSun1+4,""))</f>
        <v>44594</v>
      </c>
      <c r="O12" s="27">
        <f>IF(DAY(FebSun1)=1,"",IF(AND(YEAR(FebSun1+5)=CalendarYear,MONTH(FebSun1+5)=2),FebSun1+5,""))</f>
        <v>44595</v>
      </c>
      <c r="P12" s="27">
        <f>IF(DAY(FebSun1)=1,"",IF(AND(YEAR(FebSun1+6)=CalendarYear,MONTH(FebSun1+6)=2),FebSun1+6,""))</f>
        <v>44596</v>
      </c>
      <c r="Q12" s="27">
        <f>IF(DAY(FebSun1)=1,IF(AND(YEAR(FebSun1)=CalendarYear,MONTH(FebSun1)=2),FebSun1,""),IF(AND(YEAR(FebSun1+7)=CalendarYear,MONTH(FebSun1+7)=2),FebSun1+7,""))</f>
        <v>44597</v>
      </c>
      <c r="R12" s="2"/>
      <c r="S12" s="27" t="str">
        <f>IF(DAY(MarSun1)=1,"",IF(AND(YEAR(MarSun1+1)=CalendarYear,MONTH(MarSun1+1)=3),MarSun1+1,""))</f>
        <v/>
      </c>
      <c r="T12" s="27" t="str">
        <f>IF(DAY(MarSun1)=1,"",IF(AND(YEAR(MarSun1+2)=CalendarYear,MONTH(MarSun1+2)=3),MarSun1+2,""))</f>
        <v/>
      </c>
      <c r="U12" s="27">
        <f>IF(DAY(MarSun1)=1,"",IF(AND(YEAR(MarSun1+3)=CalendarYear,MONTH(MarSun1+3)=3),MarSun1+3,""))</f>
        <v>44621</v>
      </c>
      <c r="V12" s="27">
        <f>IF(DAY(MarSun1)=1,"",IF(AND(YEAR(MarSun1+4)=CalendarYear,MONTH(MarSun1+4)=3),MarSun1+4,""))</f>
        <v>44622</v>
      </c>
      <c r="W12" s="27">
        <f>IF(DAY(MarSun1)=1,"",IF(AND(YEAR(MarSun1+5)=CalendarYear,MONTH(MarSun1+5)=3),MarSun1+5,""))</f>
        <v>44623</v>
      </c>
      <c r="X12" s="27">
        <f>IF(DAY(MarSun1)=1,"",IF(AND(YEAR(MarSun1+6)=CalendarYear,MONTH(MarSun1+6)=3),MarSun1+6,""))</f>
        <v>44624</v>
      </c>
      <c r="Y12" s="27">
        <f>IF(DAY(MarSun1)=1,IF(AND(YEAR(MarSun1)=CalendarYear,MONTH(MarSun1)=3),MarSun1,""),IF(AND(YEAR(MarSun1+7)=CalendarYear,MONTH(MarSun1+7)=3),MarSun1+7,""))</f>
        <v>44625</v>
      </c>
      <c r="Z12" s="11"/>
      <c r="AA12" s="27" t="str">
        <f>IF(DAY(AprSun1)=1,"",IF(AND(YEAR(AprSun1+1)=CalendarYear,MONTH(AprSun1+1)=4),AprSun1+1,""))</f>
        <v/>
      </c>
      <c r="AB12" s="27" t="str">
        <f>IF(DAY(AprSun1)=1,"",IF(AND(YEAR(AprSun1+2)=CalendarYear,MONTH(AprSun1+2)=4),AprSun1+2,""))</f>
        <v/>
      </c>
      <c r="AC12" s="27" t="str">
        <f>IF(DAY(AprSun1)=1,"",IF(AND(YEAR(AprSun1+3)=CalendarYear,MONTH(AprSun1+3)=4),AprSun1+3,""))</f>
        <v/>
      </c>
      <c r="AD12" s="27" t="str">
        <f>IF(DAY(AprSun1)=1,"",IF(AND(YEAR(AprSun1+4)=CalendarYear,MONTH(AprSun1+4)=4),AprSun1+4,""))</f>
        <v/>
      </c>
      <c r="AE12" s="27" t="str">
        <f>IF(DAY(AprSun1)=1,"",IF(AND(YEAR(AprSun1+5)=CalendarYear,MONTH(AprSun1+5)=4),AprSun1+5,""))</f>
        <v/>
      </c>
      <c r="AF12" s="27">
        <f>IF(DAY(AprSun1)=1,"",IF(AND(YEAR(AprSun1+6)=CalendarYear,MONTH(AprSun1+6)=4),AprSun1+6,""))</f>
        <v>44652</v>
      </c>
      <c r="AG12" s="27">
        <f>IF(DAY(AprSun1)=1,IF(AND(YEAR(AprSun1)=CalendarYear,MONTH(AprSun1)=4),AprSun1,""),IF(AND(YEAR(AprSun1+7)=CalendarYear,MONTH(AprSun1+7)=4),AprSun1+7,""))</f>
        <v>44653</v>
      </c>
      <c r="AH12" s="13"/>
      <c r="AI12" s="27">
        <f>IF(DAY(MaySun1)=1,"",IF(AND(YEAR(MaySun1+1)=CalendarYear,MONTH(MaySun1+1)=5),MaySun1+1,""))</f>
        <v>44682</v>
      </c>
      <c r="AJ12" s="27">
        <f>IF(DAY(MaySun1)=1,"",IF(AND(YEAR(MaySun1+2)=CalendarYear,MONTH(MaySun1+2)=5),MaySun1+2,""))</f>
        <v>44683</v>
      </c>
      <c r="AK12" s="27">
        <f>IF(DAY(MaySun1)=1,"",IF(AND(YEAR(MaySun1+3)=CalendarYear,MONTH(MaySun1+3)=5),MaySun1+3,""))</f>
        <v>44684</v>
      </c>
      <c r="AL12" s="27">
        <f>IF(DAY(MaySun1)=1,"",IF(AND(YEAR(MaySun1+4)=CalendarYear,MONTH(MaySun1+4)=5),MaySun1+4,""))</f>
        <v>44685</v>
      </c>
      <c r="AM12" s="27">
        <f>IF(DAY(MaySun1)=1,"",IF(AND(YEAR(MaySun1+5)=CalendarYear,MONTH(MaySun1+5)=5),MaySun1+5,""))</f>
        <v>44686</v>
      </c>
      <c r="AN12" s="27">
        <f>IF(DAY(MaySun1)=1,"",IF(AND(YEAR(MaySun1+6)=CalendarYear,MONTH(MaySun1+6)=5),MaySun1+6,""))</f>
        <v>44687</v>
      </c>
      <c r="AO12" s="27">
        <f>IF(DAY(MaySun1)=1,IF(AND(YEAR(MaySun1)=CalendarYear,MONTH(MaySun1)=5),MaySun1,""),IF(AND(YEAR(MaySun1+7)=CalendarYear,MONTH(MaySun1+7)=5),MaySun1+7,""))</f>
        <v>44688</v>
      </c>
      <c r="AP12" s="13"/>
      <c r="AQ12" s="27" t="str">
        <f>IF(DAY(JunSun1)=1,"",IF(AND(YEAR(JunSun1+1)=CalendarYear,MONTH(JunSun1+1)=6),JunSun1+1,""))</f>
        <v/>
      </c>
      <c r="AR12" s="27" t="str">
        <f>IF(DAY(JunSun1)=1,"",IF(AND(YEAR(JunSun1+2)=CalendarYear,MONTH(JunSun1+2)=6),JunSun1+2,""))</f>
        <v/>
      </c>
      <c r="AS12" s="27" t="str">
        <f>IF(DAY(JunSun1)=1,"",IF(AND(YEAR(JunSun1+3)=CalendarYear,MONTH(JunSun1+3)=6),JunSun1+3,""))</f>
        <v/>
      </c>
      <c r="AT12" s="27">
        <f>IF(DAY(JunSun1)=1,"",IF(AND(YEAR(JunSun1+4)=CalendarYear,MONTH(JunSun1+4)=6),JunSun1+4,""))</f>
        <v>44713</v>
      </c>
      <c r="AU12" s="27">
        <f>IF(DAY(JunSun1)=1,"",IF(AND(YEAR(JunSun1+5)=CalendarYear,MONTH(JunSun1+5)=6),JunSun1+5,""))</f>
        <v>44714</v>
      </c>
      <c r="AV12" s="27">
        <f>IF(DAY(JunSun1)=1,"",IF(AND(YEAR(JunSun1+6)=CalendarYear,MONTH(JunSun1+6)=6),JunSun1+6,""))</f>
        <v>44715</v>
      </c>
      <c r="AW12" s="71">
        <f>IF(DAY(JunSun1)=1,IF(AND(YEAR(JunSun1)=CalendarYear,MONTH(JunSun1)=6),JunSun1,""),IF(AND(YEAR(JunSun1+7)=CalendarYear,MONTH(JunSun1+7)=6),JunSun1+7,""))</f>
        <v>44716</v>
      </c>
      <c r="AX12" s="85"/>
      <c r="AY12" s="85"/>
      <c r="AZ12" s="88" t="s">
        <v>89</v>
      </c>
      <c r="BA12" s="2" t="str">
        <f t="shared" si="0"/>
        <v/>
      </c>
      <c r="BB12" s="85">
        <f t="shared" si="1"/>
        <v>0</v>
      </c>
      <c r="BC12" s="1" t="s">
        <v>88</v>
      </c>
      <c r="BD12" s="85"/>
      <c r="BE12" s="85"/>
      <c r="BF12" s="2"/>
    </row>
    <row r="13" spans="2:58" ht="15" customHeight="1" x14ac:dyDescent="0.2">
      <c r="B13" s="2"/>
      <c r="C13" s="72">
        <f>IF(DAY(JanSun1)=1,IF(AND(YEAR(JanSun1+1)=CalendarYear,MONTH(JanSun1+1)=1),JanSun1+1,""),IF(AND(YEAR(JanSun1+8)=CalendarYear,MONTH(JanSun1+8)=1),JanSun1+8,""))</f>
        <v>44563</v>
      </c>
      <c r="D13" s="27">
        <f>IF(DAY(JanSun1)=1,IF(AND(YEAR(JanSun1+2)=CalendarYear,MONTH(JanSun1+2)=1),JanSun1+2,""),IF(AND(YEAR(JanSun1+9)=CalendarYear,MONTH(JanSun1+9)=1),JanSun1+9,""))</f>
        <v>44564</v>
      </c>
      <c r="E13" s="27">
        <f>IF(DAY(JanSun1)=1,IF(AND(YEAR(JanSun1+3)=CalendarYear,MONTH(JanSun1+3)=1),JanSun1+3,""),IF(AND(YEAR(JanSun1+10)=CalendarYear,MONTH(JanSun1+10)=1),JanSun1+10,""))</f>
        <v>44565</v>
      </c>
      <c r="F13" s="27">
        <f>IF(DAY(JanSun1)=1,IF(AND(YEAR(JanSun1+4)=CalendarYear,MONTH(JanSun1+4)=1),JanSun1+4,""),IF(AND(YEAR(JanSun1+11)=CalendarYear,MONTH(JanSun1+11)=1),JanSun1+11,""))</f>
        <v>44566</v>
      </c>
      <c r="G13" s="27">
        <f>IF(DAY(JanSun1)=1,IF(AND(YEAR(JanSun1+5)=CalendarYear,MONTH(JanSun1+5)=1),JanSun1+5,""),IF(AND(YEAR(JanSun1+12)=CalendarYear,MONTH(JanSun1+12)=1),JanSun1+12,""))</f>
        <v>44567</v>
      </c>
      <c r="H13" s="27">
        <f>IF(DAY(JanSun1)=1,IF(AND(YEAR(JanSun1+6)=CalendarYear,MONTH(JanSun1+6)=1),JanSun1+6,""),IF(AND(YEAR(JanSun1+13)=CalendarYear,MONTH(JanSun1+13)=1),JanSun1+13,""))</f>
        <v>44568</v>
      </c>
      <c r="I13" s="27">
        <f>IF(DAY(JanSun1)=1,IF(AND(YEAR(JanSun1+7)=CalendarYear,MONTH(JanSun1+7)=1),JanSun1+7,""),IF(AND(YEAR(JanSun1+14)=CalendarYear,MONTH(JanSun1+14)=1),JanSun1+14,""))</f>
        <v>44569</v>
      </c>
      <c r="J13" s="13"/>
      <c r="K13" s="27">
        <f>IF(DAY(FebSun1)=1,IF(AND(YEAR(FebSun1+1)=CalendarYear,MONTH(FebSun1+1)=2),FebSun1+1,""),IF(AND(YEAR(FebSun1+8)=CalendarYear,MONTH(FebSun1+8)=2),FebSun1+8,""))</f>
        <v>44598</v>
      </c>
      <c r="L13" s="27">
        <f>IF(DAY(FebSun1)=1,IF(AND(YEAR(FebSun1+2)=CalendarYear,MONTH(FebSun1+2)=2),FebSun1+2,""),IF(AND(YEAR(FebSun1+9)=CalendarYear,MONTH(FebSun1+9)=2),FebSun1+9,""))</f>
        <v>44599</v>
      </c>
      <c r="M13" s="27">
        <f>IF(DAY(FebSun1)=1,IF(AND(YEAR(FebSun1+3)=CalendarYear,MONTH(FebSun1+3)=2),FebSun1+3,""),IF(AND(YEAR(FebSun1+10)=CalendarYear,MONTH(FebSun1+10)=2),FebSun1+10,""))</f>
        <v>44600</v>
      </c>
      <c r="N13" s="27">
        <f>IF(DAY(FebSun1)=1,IF(AND(YEAR(FebSun1+4)=CalendarYear,MONTH(FebSun1+4)=2),FebSun1+4,""),IF(AND(YEAR(FebSun1+11)=CalendarYear,MONTH(FebSun1+11)=2),FebSun1+11,""))</f>
        <v>44601</v>
      </c>
      <c r="O13" s="27">
        <f>IF(DAY(FebSun1)=1,IF(AND(YEAR(FebSun1+5)=CalendarYear,MONTH(FebSun1+5)=2),FebSun1+5,""),IF(AND(YEAR(FebSun1+12)=CalendarYear,MONTH(FebSun1+12)=2),FebSun1+12,""))</f>
        <v>44602</v>
      </c>
      <c r="P13" s="27">
        <f>IF(DAY(FebSun1)=1,IF(AND(YEAR(FebSun1+6)=CalendarYear,MONTH(FebSun1+6)=2),FebSun1+6,""),IF(AND(YEAR(FebSun1+13)=CalendarYear,MONTH(FebSun1+13)=2),FebSun1+13,""))</f>
        <v>44603</v>
      </c>
      <c r="Q13" s="27">
        <f>IF(DAY(FebSun1)=1,IF(AND(YEAR(FebSun1+7)=CalendarYear,MONTH(FebSun1+7)=2),FebSun1+7,""),IF(AND(YEAR(FebSun1+14)=CalendarYear,MONTH(FebSun1+14)=2),FebSun1+14,""))</f>
        <v>44604</v>
      </c>
      <c r="R13" s="2"/>
      <c r="S13" s="27">
        <f>IF(DAY(MarSun1)=1,IF(AND(YEAR(MarSun1+1)=CalendarYear,MONTH(MarSun1+1)=3),MarSun1+1,""),IF(AND(YEAR(MarSun1+8)=CalendarYear,MONTH(MarSun1+8)=3),MarSun1+8,""))</f>
        <v>44626</v>
      </c>
      <c r="T13" s="27">
        <f>IF(DAY(MarSun1)=1,IF(AND(YEAR(MarSun1+2)=CalendarYear,MONTH(MarSun1+2)=3),MarSun1+2,""),IF(AND(YEAR(MarSun1+9)=CalendarYear,MONTH(MarSun1+9)=3),MarSun1+9,""))</f>
        <v>44627</v>
      </c>
      <c r="U13" s="27">
        <f>IF(DAY(MarSun1)=1,IF(AND(YEAR(MarSun1+3)=CalendarYear,MONTH(MarSun1+3)=3),MarSun1+3,""),IF(AND(YEAR(MarSun1+10)=CalendarYear,MONTH(MarSun1+10)=3),MarSun1+10,""))</f>
        <v>44628</v>
      </c>
      <c r="V13" s="27">
        <f>IF(DAY(MarSun1)=1,IF(AND(YEAR(MarSun1+4)=CalendarYear,MONTH(MarSun1+4)=3),MarSun1+4,""),IF(AND(YEAR(MarSun1+11)=CalendarYear,MONTH(MarSun1+11)=3),MarSun1+11,""))</f>
        <v>44629</v>
      </c>
      <c r="W13" s="27">
        <f>IF(DAY(MarSun1)=1,IF(AND(YEAR(MarSun1+5)=CalendarYear,MONTH(MarSun1+5)=3),MarSun1+5,""),IF(AND(YEAR(MarSun1+12)=CalendarYear,MONTH(MarSun1+12)=3),MarSun1+12,""))</f>
        <v>44630</v>
      </c>
      <c r="X13" s="27">
        <f>IF(DAY(MarSun1)=1,IF(AND(YEAR(MarSun1+6)=CalendarYear,MONTH(MarSun1+6)=3),MarSun1+6,""),IF(AND(YEAR(MarSun1+13)=CalendarYear,MONTH(MarSun1+13)=3),MarSun1+13,""))</f>
        <v>44631</v>
      </c>
      <c r="Y13" s="27">
        <f>IF(DAY(MarSun1)=1,IF(AND(YEAR(MarSun1+7)=CalendarYear,MONTH(MarSun1+7)=3),MarSun1+7,""),IF(AND(YEAR(MarSun1+14)=CalendarYear,MONTH(MarSun1+14)=3),MarSun1+14,""))</f>
        <v>44632</v>
      </c>
      <c r="Z13" s="13"/>
      <c r="AA13" s="27">
        <f>IF(DAY(AprSun1)=1,IF(AND(YEAR(AprSun1+1)=CalendarYear,MONTH(AprSun1+1)=4),AprSun1+1,""),IF(AND(YEAR(AprSun1+8)=CalendarYear,MONTH(AprSun1+8)=4),AprSun1+8,""))</f>
        <v>44654</v>
      </c>
      <c r="AB13" s="27">
        <f>IF(DAY(AprSun1)=1,IF(AND(YEAR(AprSun1+2)=CalendarYear,MONTH(AprSun1+2)=4),AprSun1+2,""),IF(AND(YEAR(AprSun1+9)=CalendarYear,MONTH(AprSun1+9)=4),AprSun1+9,""))</f>
        <v>44655</v>
      </c>
      <c r="AC13" s="27">
        <f>IF(DAY(AprSun1)=1,IF(AND(YEAR(AprSun1+3)=CalendarYear,MONTH(AprSun1+3)=4),AprSun1+3,""),IF(AND(YEAR(AprSun1+10)=CalendarYear,MONTH(AprSun1+10)=4),AprSun1+10,""))</f>
        <v>44656</v>
      </c>
      <c r="AD13" s="27">
        <f>IF(DAY(AprSun1)=1,IF(AND(YEAR(AprSun1+4)=CalendarYear,MONTH(AprSun1+4)=4),AprSun1+4,""),IF(AND(YEAR(AprSun1+11)=CalendarYear,MONTH(AprSun1+11)=4),AprSun1+11,""))</f>
        <v>44657</v>
      </c>
      <c r="AE13" s="27">
        <f>IF(DAY(AprSun1)=1,IF(AND(YEAR(AprSun1+5)=CalendarYear,MONTH(AprSun1+5)=4),AprSun1+5,""),IF(AND(YEAR(AprSun1+12)=CalendarYear,MONTH(AprSun1+12)=4),AprSun1+12,""))</f>
        <v>44658</v>
      </c>
      <c r="AF13" s="27">
        <f>IF(DAY(AprSun1)=1,IF(AND(YEAR(AprSun1+6)=CalendarYear,MONTH(AprSun1+6)=4),AprSun1+6,""),IF(AND(YEAR(AprSun1+13)=CalendarYear,MONTH(AprSun1+13)=4),AprSun1+13,""))</f>
        <v>44659</v>
      </c>
      <c r="AG13" s="27">
        <f>IF(DAY(AprSun1)=1,IF(AND(YEAR(AprSun1+7)=CalendarYear,MONTH(AprSun1+7)=4),AprSun1+7,""),IF(AND(YEAR(AprSun1+14)=CalendarYear,MONTH(AprSun1+14)=4),AprSun1+14,""))</f>
        <v>44660</v>
      </c>
      <c r="AH13" s="13"/>
      <c r="AI13" s="27">
        <f>IF(DAY(MaySun1)=1,IF(AND(YEAR(MaySun1+1)=CalendarYear,MONTH(MaySun1+1)=5),MaySun1+1,""),IF(AND(YEAR(MaySun1+8)=CalendarYear,MONTH(MaySun1+8)=5),MaySun1+8,""))</f>
        <v>44689</v>
      </c>
      <c r="AJ13" s="27">
        <f>IF(DAY(MaySun1)=1,IF(AND(YEAR(MaySun1+2)=CalendarYear,MONTH(MaySun1+2)=5),MaySun1+2,""),IF(AND(YEAR(MaySun1+9)=CalendarYear,MONTH(MaySun1+9)=5),MaySun1+9,""))</f>
        <v>44690</v>
      </c>
      <c r="AK13" s="27">
        <f>IF(DAY(MaySun1)=1,IF(AND(YEAR(MaySun1+3)=CalendarYear,MONTH(MaySun1+3)=5),MaySun1+3,""),IF(AND(YEAR(MaySun1+10)=CalendarYear,MONTH(MaySun1+10)=5),MaySun1+10,""))</f>
        <v>44691</v>
      </c>
      <c r="AL13" s="27">
        <f>IF(DAY(MaySun1)=1,IF(AND(YEAR(MaySun1+4)=CalendarYear,MONTH(MaySun1+4)=5),MaySun1+4,""),IF(AND(YEAR(MaySun1+11)=CalendarYear,MONTH(MaySun1+11)=5),MaySun1+11,""))</f>
        <v>44692</v>
      </c>
      <c r="AM13" s="27">
        <f>IF(DAY(MaySun1)=1,IF(AND(YEAR(MaySun1+5)=CalendarYear,MONTH(MaySun1+5)=5),MaySun1+5,""),IF(AND(YEAR(MaySun1+12)=CalendarYear,MONTH(MaySun1+12)=5),MaySun1+12,""))</f>
        <v>44693</v>
      </c>
      <c r="AN13" s="27">
        <f>IF(DAY(MaySun1)=1,IF(AND(YEAR(MaySun1+6)=CalendarYear,MONTH(MaySun1+6)=5),MaySun1+6,""),IF(AND(YEAR(MaySun1+13)=CalendarYear,MONTH(MaySun1+13)=5),MaySun1+13,""))</f>
        <v>44694</v>
      </c>
      <c r="AO13" s="27">
        <f>IF(DAY(MaySun1)=1,IF(AND(YEAR(MaySun1+7)=CalendarYear,MONTH(MaySun1+7)=5),MaySun1+7,""),IF(AND(YEAR(MaySun1+14)=CalendarYear,MONTH(MaySun1+14)=5),MaySun1+14,""))</f>
        <v>44695</v>
      </c>
      <c r="AP13" s="13"/>
      <c r="AQ13" s="27">
        <f>IF(DAY(JunSun1)=1,IF(AND(YEAR(JunSun1+1)=CalendarYear,MONTH(JunSun1+1)=6),JunSun1+1,""),IF(AND(YEAR(JunSun1+8)=CalendarYear,MONTH(JunSun1+8)=6),JunSun1+8,""))</f>
        <v>44717</v>
      </c>
      <c r="AR13" s="27">
        <f>IF(DAY(JunSun1)=1,IF(AND(YEAR(JunSun1+2)=CalendarYear,MONTH(JunSun1+2)=6),JunSun1+2,""),IF(AND(YEAR(JunSun1+9)=CalendarYear,MONTH(JunSun1+9)=6),JunSun1+9,""))</f>
        <v>44718</v>
      </c>
      <c r="AS13" s="27">
        <f>IF(DAY(JunSun1)=1,IF(AND(YEAR(JunSun1+3)=CalendarYear,MONTH(JunSun1+3)=6),JunSun1+3,""),IF(AND(YEAR(JunSun1+10)=CalendarYear,MONTH(JunSun1+10)=6),JunSun1+10,""))</f>
        <v>44719</v>
      </c>
      <c r="AT13" s="27">
        <f>IF(DAY(JunSun1)=1,IF(AND(YEAR(JunSun1+4)=CalendarYear,MONTH(JunSun1+4)=6),JunSun1+4,""),IF(AND(YEAR(JunSun1+11)=CalendarYear,MONTH(JunSun1+11)=6),JunSun1+11,""))</f>
        <v>44720</v>
      </c>
      <c r="AU13" s="27">
        <f>IF(DAY(JunSun1)=1,IF(AND(YEAR(JunSun1+5)=CalendarYear,MONTH(JunSun1+5)=6),JunSun1+5,""),IF(AND(YEAR(JunSun1+12)=CalendarYear,MONTH(JunSun1+12)=6),JunSun1+12,""))</f>
        <v>44721</v>
      </c>
      <c r="AV13" s="27">
        <f>IF(DAY(JunSun1)=1,IF(AND(YEAR(JunSun1+6)=CalendarYear,MONTH(JunSun1+6)=6),JunSun1+6,""),IF(AND(YEAR(JunSun1+13)=CalendarYear,MONTH(JunSun1+13)=6),JunSun1+13,""))</f>
        <v>44722</v>
      </c>
      <c r="AW13" s="71">
        <f>IF(DAY(JunSun1)=1,IF(AND(YEAR(JunSun1+7)=CalendarYear,MONTH(JunSun1+7)=6),JunSun1+7,""),IF(AND(YEAR(JunSun1+14)=CalendarYear,MONTH(JunSun1+14)=6),JunSun1+14,""))</f>
        <v>44723</v>
      </c>
      <c r="AX13" s="85"/>
      <c r="AY13" s="85"/>
      <c r="AZ13" s="84">
        <f>MAX(May[LUN])</f>
        <v>44711</v>
      </c>
      <c r="BA13" s="2">
        <f t="shared" si="0"/>
        <v>2</v>
      </c>
      <c r="BB13" s="85">
        <f t="shared" si="1"/>
        <v>0</v>
      </c>
      <c r="BC13" s="1" t="s">
        <v>80</v>
      </c>
      <c r="BD13" s="85"/>
      <c r="BE13" s="85"/>
      <c r="BF13" s="2"/>
    </row>
    <row r="14" spans="2:58" ht="15" customHeight="1" x14ac:dyDescent="0.2">
      <c r="B14" s="2"/>
      <c r="C14" s="72">
        <f>IF(DAY(JanSun1)=1,IF(AND(YEAR(JanSun1+8)=CalendarYear,MONTH(JanSun1+8)=1),JanSun1+8,""),IF(AND(YEAR(JanSun1+15)=CalendarYear,MONTH(JanSun1+15)=1),JanSun1+15,""))</f>
        <v>44570</v>
      </c>
      <c r="D14" s="27">
        <f>IF(DAY(JanSun1)=1,IF(AND(YEAR(JanSun1+9)=CalendarYear,MONTH(JanSun1+9)=1),JanSun1+9,""),IF(AND(YEAR(JanSun1+16)=CalendarYear,MONTH(JanSun1+16)=1),JanSun1+16,""))</f>
        <v>44571</v>
      </c>
      <c r="E14" s="27">
        <f>IF(DAY(JanSun1)=1,IF(AND(YEAR(JanSun1+10)=CalendarYear,MONTH(JanSun1+10)=1),JanSun1+10,""),IF(AND(YEAR(JanSun1+17)=CalendarYear,MONTH(JanSun1+17)=1),JanSun1+17,""))</f>
        <v>44572</v>
      </c>
      <c r="F14" s="27">
        <f>IF(DAY(JanSun1)=1,IF(AND(YEAR(JanSun1+11)=CalendarYear,MONTH(JanSun1+11)=1),JanSun1+11,""),IF(AND(YEAR(JanSun1+18)=CalendarYear,MONTH(JanSun1+18)=1),JanSun1+18,""))</f>
        <v>44573</v>
      </c>
      <c r="G14" s="27">
        <f>IF(DAY(JanSun1)=1,IF(AND(YEAR(JanSun1+12)=CalendarYear,MONTH(JanSun1+12)=1),JanSun1+12,""),IF(AND(YEAR(JanSun1+19)=CalendarYear,MONTH(JanSun1+19)=1),JanSun1+19,""))</f>
        <v>44574</v>
      </c>
      <c r="H14" s="27">
        <f>IF(DAY(JanSun1)=1,IF(AND(YEAR(JanSun1+13)=CalendarYear,MONTH(JanSun1+13)=1),JanSun1+13,""),IF(AND(YEAR(JanSun1+20)=CalendarYear,MONTH(JanSun1+20)=1),JanSun1+20,""))</f>
        <v>44575</v>
      </c>
      <c r="I14" s="27">
        <f>IF(DAY(JanSun1)=1,IF(AND(YEAR(JanSun1+14)=CalendarYear,MONTH(JanSun1+14)=1),JanSun1+14,""),IF(AND(YEAR(JanSun1+21)=CalendarYear,MONTH(JanSun1+21)=1),JanSun1+21,""))</f>
        <v>44576</v>
      </c>
      <c r="J14" s="13"/>
      <c r="K14" s="27">
        <f>IF(DAY(FebSun1)=1,IF(AND(YEAR(FebSun1+8)=CalendarYear,MONTH(FebSun1+8)=2),FebSun1+8,""),IF(AND(YEAR(FebSun1+15)=CalendarYear,MONTH(FebSun1+15)=2),FebSun1+15,""))</f>
        <v>44605</v>
      </c>
      <c r="L14" s="27">
        <f>IF(DAY(FebSun1)=1,IF(AND(YEAR(FebSun1+9)=CalendarYear,MONTH(FebSun1+9)=2),FebSun1+9,""),IF(AND(YEAR(FebSun1+16)=CalendarYear,MONTH(FebSun1+16)=2),FebSun1+16,""))</f>
        <v>44606</v>
      </c>
      <c r="M14" s="27">
        <f>IF(DAY(FebSun1)=1,IF(AND(YEAR(FebSun1+10)=CalendarYear,MONTH(FebSun1+10)=2),FebSun1+10,""),IF(AND(YEAR(FebSun1+17)=CalendarYear,MONTH(FebSun1+17)=2),FebSun1+17,""))</f>
        <v>44607</v>
      </c>
      <c r="N14" s="27">
        <f>IF(DAY(FebSun1)=1,IF(AND(YEAR(FebSun1+11)=CalendarYear,MONTH(FebSun1+11)=2),FebSun1+11,""),IF(AND(YEAR(FebSun1+18)=CalendarYear,MONTH(FebSun1+18)=2),FebSun1+18,""))</f>
        <v>44608</v>
      </c>
      <c r="O14" s="27">
        <f>IF(DAY(FebSun1)=1,IF(AND(YEAR(FebSun1+12)=CalendarYear,MONTH(FebSun1+12)=2),FebSun1+12,""),IF(AND(YEAR(FebSun1+19)=CalendarYear,MONTH(FebSun1+19)=2),FebSun1+19,""))</f>
        <v>44609</v>
      </c>
      <c r="P14" s="27">
        <f>IF(DAY(FebSun1)=1,IF(AND(YEAR(FebSun1+13)=CalendarYear,MONTH(FebSun1+13)=2),FebSun1+13,""),IF(AND(YEAR(FebSun1+20)=CalendarYear,MONTH(FebSun1+20)=2),FebSun1+20,""))</f>
        <v>44610</v>
      </c>
      <c r="Q14" s="27">
        <f>IF(DAY(FebSun1)=1,IF(AND(YEAR(FebSun1+14)=CalendarYear,MONTH(FebSun1+14)=2),FebSun1+14,""),IF(AND(YEAR(FebSun1+21)=CalendarYear,MONTH(FebSun1+21)=2),FebSun1+21,""))</f>
        <v>44611</v>
      </c>
      <c r="R14" s="2"/>
      <c r="S14" s="27">
        <f>IF(DAY(MarSun1)=1,IF(AND(YEAR(MarSun1+8)=CalendarYear,MONTH(MarSun1+8)=3),MarSun1+8,""),IF(AND(YEAR(MarSun1+15)=CalendarYear,MONTH(MarSun1+15)=3),MarSun1+15,""))</f>
        <v>44633</v>
      </c>
      <c r="T14" s="27">
        <f>IF(DAY(MarSun1)=1,IF(AND(YEAR(MarSun1+9)=CalendarYear,MONTH(MarSun1+9)=3),MarSun1+9,""),IF(AND(YEAR(MarSun1+16)=CalendarYear,MONTH(MarSun1+16)=3),MarSun1+16,""))</f>
        <v>44634</v>
      </c>
      <c r="U14" s="27">
        <f>IF(DAY(MarSun1)=1,IF(AND(YEAR(MarSun1+10)=CalendarYear,MONTH(MarSun1+10)=3),MarSun1+10,""),IF(AND(YEAR(MarSun1+17)=CalendarYear,MONTH(MarSun1+17)=3),MarSun1+17,""))</f>
        <v>44635</v>
      </c>
      <c r="V14" s="27">
        <f>IF(DAY(MarSun1)=1,IF(AND(YEAR(MarSun1+11)=CalendarYear,MONTH(MarSun1+11)=3),MarSun1+11,""),IF(AND(YEAR(MarSun1+18)=CalendarYear,MONTH(MarSun1+18)=3),MarSun1+18,""))</f>
        <v>44636</v>
      </c>
      <c r="W14" s="27">
        <f>IF(DAY(MarSun1)=1,IF(AND(YEAR(MarSun1+12)=CalendarYear,MONTH(MarSun1+12)=3),MarSun1+12,""),IF(AND(YEAR(MarSun1+19)=CalendarYear,MONTH(MarSun1+19)=3),MarSun1+19,""))</f>
        <v>44637</v>
      </c>
      <c r="X14" s="27">
        <f>IF(DAY(MarSun1)=1,IF(AND(YEAR(MarSun1+13)=CalendarYear,MONTH(MarSun1+13)=3),MarSun1+13,""),IF(AND(YEAR(MarSun1+20)=CalendarYear,MONTH(MarSun1+20)=3),MarSun1+20,""))</f>
        <v>44638</v>
      </c>
      <c r="Y14" s="27">
        <f>IF(DAY(MarSun1)=1,IF(AND(YEAR(MarSun1+14)=CalendarYear,MONTH(MarSun1+14)=3),MarSun1+14,""),IF(AND(YEAR(MarSun1+21)=CalendarYear,MONTH(MarSun1+21)=3),MarSun1+21,""))</f>
        <v>44639</v>
      </c>
      <c r="Z14" s="13"/>
      <c r="AA14" s="27">
        <f>IF(DAY(AprSun1)=1,IF(AND(YEAR(AprSun1+8)=CalendarYear,MONTH(AprSun1+8)=4),AprSun1+8,""),IF(AND(YEAR(AprSun1+15)=CalendarYear,MONTH(AprSun1+15)=4),AprSun1+15,""))</f>
        <v>44661</v>
      </c>
      <c r="AB14" s="27">
        <f>IF(DAY(AprSun1)=1,IF(AND(YEAR(AprSun1+9)=CalendarYear,MONTH(AprSun1+9)=4),AprSun1+9,""),IF(AND(YEAR(AprSun1+16)=CalendarYear,MONTH(AprSun1+16)=4),AprSun1+16,""))</f>
        <v>44662</v>
      </c>
      <c r="AC14" s="27">
        <f>IF(DAY(AprSun1)=1,IF(AND(YEAR(AprSun1+10)=CalendarYear,MONTH(AprSun1+10)=4),AprSun1+10,""),IF(AND(YEAR(AprSun1+17)=CalendarYear,MONTH(AprSun1+17)=4),AprSun1+17,""))</f>
        <v>44663</v>
      </c>
      <c r="AD14" s="27">
        <f>IF(DAY(AprSun1)=1,IF(AND(YEAR(AprSun1+11)=CalendarYear,MONTH(AprSun1+11)=4),AprSun1+11,""),IF(AND(YEAR(AprSun1+18)=CalendarYear,MONTH(AprSun1+18)=4),AprSun1+18,""))</f>
        <v>44664</v>
      </c>
      <c r="AE14" s="27">
        <f>IF(DAY(AprSun1)=1,IF(AND(YEAR(AprSun1+12)=CalendarYear,MONTH(AprSun1+12)=4),AprSun1+12,""),IF(AND(YEAR(AprSun1+19)=CalendarYear,MONTH(AprSun1+19)=4),AprSun1+19,""))</f>
        <v>44665</v>
      </c>
      <c r="AF14" s="27">
        <f>IF(DAY(AprSun1)=1,IF(AND(YEAR(AprSun1+13)=CalendarYear,MONTH(AprSun1+13)=4),AprSun1+13,""),IF(AND(YEAR(AprSun1+20)=CalendarYear,MONTH(AprSun1+20)=4),AprSun1+20,""))</f>
        <v>44666</v>
      </c>
      <c r="AG14" s="27">
        <f>IF(DAY(AprSun1)=1,IF(AND(YEAR(AprSun1+14)=CalendarYear,MONTH(AprSun1+14)=4),AprSun1+14,""),IF(AND(YEAR(AprSun1+21)=CalendarYear,MONTH(AprSun1+21)=4),AprSun1+21,""))</f>
        <v>44667</v>
      </c>
      <c r="AH14" s="13"/>
      <c r="AI14" s="27">
        <f>IF(DAY(MaySun1)=1,IF(AND(YEAR(MaySun1+8)=CalendarYear,MONTH(MaySun1+8)=5),MaySun1+8,""),IF(AND(YEAR(MaySun1+15)=CalendarYear,MONTH(MaySun1+15)=5),MaySun1+15,""))</f>
        <v>44696</v>
      </c>
      <c r="AJ14" s="27">
        <f>IF(DAY(MaySun1)=1,IF(AND(YEAR(MaySun1+9)=CalendarYear,MONTH(MaySun1+9)=5),MaySun1+9,""),IF(AND(YEAR(MaySun1+16)=CalendarYear,MONTH(MaySun1+16)=5),MaySun1+16,""))</f>
        <v>44697</v>
      </c>
      <c r="AK14" s="27">
        <f>IF(DAY(MaySun1)=1,IF(AND(YEAR(MaySun1+10)=CalendarYear,MONTH(MaySun1+10)=5),MaySun1+10,""),IF(AND(YEAR(MaySun1+17)=CalendarYear,MONTH(MaySun1+17)=5),MaySun1+17,""))</f>
        <v>44698</v>
      </c>
      <c r="AL14" s="27">
        <f>IF(DAY(MaySun1)=1,IF(AND(YEAR(MaySun1+11)=CalendarYear,MONTH(MaySun1+11)=5),MaySun1+11,""),IF(AND(YEAR(MaySun1+18)=CalendarYear,MONTH(MaySun1+18)=5),MaySun1+18,""))</f>
        <v>44699</v>
      </c>
      <c r="AM14" s="27">
        <f>IF(DAY(MaySun1)=1,IF(AND(YEAR(MaySun1+12)=CalendarYear,MONTH(MaySun1+12)=5),MaySun1+12,""),IF(AND(YEAR(MaySun1+19)=CalendarYear,MONTH(MaySun1+19)=5),MaySun1+19,""))</f>
        <v>44700</v>
      </c>
      <c r="AN14" s="27">
        <f>IF(DAY(MaySun1)=1,IF(AND(YEAR(MaySun1+13)=CalendarYear,MONTH(MaySun1+13)=5),MaySun1+13,""),IF(AND(YEAR(MaySun1+20)=CalendarYear,MONTH(MaySun1+20)=5),MaySun1+20,""))</f>
        <v>44701</v>
      </c>
      <c r="AO14" s="27">
        <f>IF(DAY(MaySun1)=1,IF(AND(YEAR(MaySun1+14)=CalendarYear,MONTH(MaySun1+14)=5),MaySun1+14,""),IF(AND(YEAR(MaySun1+21)=CalendarYear,MONTH(MaySun1+21)=5),MaySun1+21,""))</f>
        <v>44702</v>
      </c>
      <c r="AP14" s="13"/>
      <c r="AQ14" s="27">
        <f>IF(DAY(JunSun1)=1,IF(AND(YEAR(JunSun1+8)=CalendarYear,MONTH(JunSun1+8)=6),JunSun1+8,""),IF(AND(YEAR(JunSun1+15)=CalendarYear,MONTH(JunSun1+15)=6),JunSun1+15,""))</f>
        <v>44724</v>
      </c>
      <c r="AR14" s="27">
        <f>IF(DAY(JunSun1)=1,IF(AND(YEAR(JunSun1+9)=CalendarYear,MONTH(JunSun1+9)=6),JunSun1+9,""),IF(AND(YEAR(JunSun1+16)=CalendarYear,MONTH(JunSun1+16)=6),JunSun1+16,""))</f>
        <v>44725</v>
      </c>
      <c r="AS14" s="27">
        <f>IF(DAY(JunSun1)=1,IF(AND(YEAR(JunSun1+10)=CalendarYear,MONTH(JunSun1+10)=6),JunSun1+10,""),IF(AND(YEAR(JunSun1+17)=CalendarYear,MONTH(JunSun1+17)=6),JunSun1+17,""))</f>
        <v>44726</v>
      </c>
      <c r="AT14" s="27">
        <f>IF(DAY(JunSun1)=1,IF(AND(YEAR(JunSun1+11)=CalendarYear,MONTH(JunSun1+11)=6),JunSun1+11,""),IF(AND(YEAR(JunSun1+18)=CalendarYear,MONTH(JunSun1+18)=6),JunSun1+18,""))</f>
        <v>44727</v>
      </c>
      <c r="AU14" s="27">
        <f>IF(DAY(JunSun1)=1,IF(AND(YEAR(JunSun1+12)=CalendarYear,MONTH(JunSun1+12)=6),JunSun1+12,""),IF(AND(YEAR(JunSun1+19)=CalendarYear,MONTH(JunSun1+19)=6),JunSun1+19,""))</f>
        <v>44728</v>
      </c>
      <c r="AV14" s="27">
        <f>IF(DAY(JunSun1)=1,IF(AND(YEAR(JunSun1+13)=CalendarYear,MONTH(JunSun1+13)=6),JunSun1+13,""),IF(AND(YEAR(JunSun1+20)=CalendarYear,MONTH(JunSun1+20)=6),JunSun1+20,""))</f>
        <v>44729</v>
      </c>
      <c r="AW14" s="71">
        <f>IF(DAY(JunSun1)=1,IF(AND(YEAR(JunSun1+14)=CalendarYear,MONTH(JunSun1+14)=6),JunSun1+14,""),IF(AND(YEAR(JunSun1+21)=CalendarYear,MONTH(JunSun1+21)=6),JunSun1+21,""))</f>
        <v>44730</v>
      </c>
      <c r="AX14" s="85"/>
      <c r="AY14" s="85"/>
      <c r="AZ14" s="81">
        <f>DATE(CalendarYear,6,19)</f>
        <v>44731</v>
      </c>
      <c r="BA14" s="2">
        <f t="shared" ref="BA14" si="2">IFERROR(WEEKDAY(AZ14,1),"")</f>
        <v>1</v>
      </c>
      <c r="BB14" s="85">
        <f t="shared" ref="BB14" si="3">IF(BA14=1,AZ14+1,0)</f>
        <v>44732</v>
      </c>
      <c r="BC14" s="1" t="s">
        <v>99</v>
      </c>
      <c r="BF14" s="2"/>
    </row>
    <row r="15" spans="2:58" ht="15" customHeight="1" x14ac:dyDescent="0.2">
      <c r="B15" s="2"/>
      <c r="C15" s="72">
        <f>IF(DAY(JanSun1)=1,IF(AND(YEAR(JanSun1+15)=CalendarYear,MONTH(JanSun1+15)=1),JanSun1+15,""),IF(AND(YEAR(JanSun1+22)=CalendarYear,MONTH(JanSun1+22)=1),JanSun1+22,""))</f>
        <v>44577</v>
      </c>
      <c r="D15" s="27">
        <f>IF(DAY(JanSun1)=1,IF(AND(YEAR(JanSun1+16)=CalendarYear,MONTH(JanSun1+16)=1),JanSun1+16,""),IF(AND(YEAR(JanSun1+23)=CalendarYear,MONTH(JanSun1+23)=1),JanSun1+23,""))</f>
        <v>44578</v>
      </c>
      <c r="E15" s="27">
        <f>IF(DAY(JanSun1)=1,IF(AND(YEAR(JanSun1+17)=CalendarYear,MONTH(JanSun1+17)=1),JanSun1+17,""),IF(AND(YEAR(JanSun1+24)=CalendarYear,MONTH(JanSun1+24)=1),JanSun1+24,""))</f>
        <v>44579</v>
      </c>
      <c r="F15" s="27">
        <f>IF(DAY(JanSun1)=1,IF(AND(YEAR(JanSun1+18)=CalendarYear,MONTH(JanSun1+18)=1),JanSun1+18,""),IF(AND(YEAR(JanSun1+25)=CalendarYear,MONTH(JanSun1+25)=1),JanSun1+25,""))</f>
        <v>44580</v>
      </c>
      <c r="G15" s="27">
        <f>IF(DAY(JanSun1)=1,IF(AND(YEAR(JanSun1+19)=CalendarYear,MONTH(JanSun1+19)=1),JanSun1+19,""),IF(AND(YEAR(JanSun1+26)=CalendarYear,MONTH(JanSun1+26)=1),JanSun1+26,""))</f>
        <v>44581</v>
      </c>
      <c r="H15" s="27">
        <f>IF(DAY(JanSun1)=1,IF(AND(YEAR(JanSun1+20)=CalendarYear,MONTH(JanSun1+20)=1),JanSun1+20,""),IF(AND(YEAR(JanSun1+27)=CalendarYear,MONTH(JanSun1+27)=1),JanSun1+27,""))</f>
        <v>44582</v>
      </c>
      <c r="I15" s="27">
        <f>IF(DAY(JanSun1)=1,IF(AND(YEAR(JanSun1+21)=CalendarYear,MONTH(JanSun1+21)=1),JanSun1+21,""),IF(AND(YEAR(JanSun1+28)=CalendarYear,MONTH(JanSun1+28)=1),JanSun1+28,""))</f>
        <v>44583</v>
      </c>
      <c r="J15" s="13"/>
      <c r="K15" s="27">
        <f>IF(DAY(FebSun1)=1,IF(AND(YEAR(FebSun1+15)=CalendarYear,MONTH(FebSun1+15)=2),FebSun1+15,""),IF(AND(YEAR(FebSun1+22)=CalendarYear,MONTH(FebSun1+22)=2),FebSun1+22,""))</f>
        <v>44612</v>
      </c>
      <c r="L15" s="27">
        <f>IF(DAY(FebSun1)=1,IF(AND(YEAR(FebSun1+16)=CalendarYear,MONTH(FebSun1+16)=2),FebSun1+16,""),IF(AND(YEAR(FebSun1+23)=CalendarYear,MONTH(FebSun1+23)=2),FebSun1+23,""))</f>
        <v>44613</v>
      </c>
      <c r="M15" s="27">
        <f>IF(DAY(FebSun1)=1,IF(AND(YEAR(FebSun1+17)=CalendarYear,MONTH(FebSun1+17)=2),FebSun1+17,""),IF(AND(YEAR(FebSun1+24)=CalendarYear,MONTH(FebSun1+24)=2),FebSun1+24,""))</f>
        <v>44614</v>
      </c>
      <c r="N15" s="27">
        <f>IF(DAY(FebSun1)=1,IF(AND(YEAR(FebSun1+18)=CalendarYear,MONTH(FebSun1+18)=2),FebSun1+18,""),IF(AND(YEAR(FebSun1+25)=CalendarYear,MONTH(FebSun1+25)=2),FebSun1+25,""))</f>
        <v>44615</v>
      </c>
      <c r="O15" s="27">
        <f>IF(DAY(FebSun1)=1,IF(AND(YEAR(FebSun1+19)=CalendarYear,MONTH(FebSun1+19)=2),FebSun1+19,""),IF(AND(YEAR(FebSun1+26)=CalendarYear,MONTH(FebSun1+26)=2),FebSun1+26,""))</f>
        <v>44616</v>
      </c>
      <c r="P15" s="27">
        <f>IF(DAY(FebSun1)=1,IF(AND(YEAR(FebSun1+20)=CalendarYear,MONTH(FebSun1+20)=2),FebSun1+20,""),IF(AND(YEAR(FebSun1+27)=CalendarYear,MONTH(FebSun1+27)=2),FebSun1+27,""))</f>
        <v>44617</v>
      </c>
      <c r="Q15" s="27">
        <f>IF(DAY(FebSun1)=1,IF(AND(YEAR(FebSun1+21)=CalendarYear,MONTH(FebSun1+21)=2),FebSun1+21,""),IF(AND(YEAR(FebSun1+28)=CalendarYear,MONTH(FebSun1+28)=2),FebSun1+28,""))</f>
        <v>44618</v>
      </c>
      <c r="R15" s="2"/>
      <c r="S15" s="27">
        <f>IF(DAY(MarSun1)=1,IF(AND(YEAR(MarSun1+15)=CalendarYear,MONTH(MarSun1+15)=3),MarSun1+15,""),IF(AND(YEAR(MarSun1+22)=CalendarYear,MONTH(MarSun1+22)=3),MarSun1+22,""))</f>
        <v>44640</v>
      </c>
      <c r="T15" s="27">
        <f>IF(DAY(MarSun1)=1,IF(AND(YEAR(MarSun1+16)=CalendarYear,MONTH(MarSun1+16)=3),MarSun1+16,""),IF(AND(YEAR(MarSun1+23)=CalendarYear,MONTH(MarSun1+23)=3),MarSun1+23,""))</f>
        <v>44641</v>
      </c>
      <c r="U15" s="27">
        <f>IF(DAY(MarSun1)=1,IF(AND(YEAR(MarSun1+17)=CalendarYear,MONTH(MarSun1+17)=3),MarSun1+17,""),IF(AND(YEAR(MarSun1+24)=CalendarYear,MONTH(MarSun1+24)=3),MarSun1+24,""))</f>
        <v>44642</v>
      </c>
      <c r="V15" s="27">
        <f>IF(DAY(MarSun1)=1,IF(AND(YEAR(MarSun1+18)=CalendarYear,MONTH(MarSun1+18)=3),MarSun1+18,""),IF(AND(YEAR(MarSun1+25)=CalendarYear,MONTH(MarSun1+25)=3),MarSun1+25,""))</f>
        <v>44643</v>
      </c>
      <c r="W15" s="27">
        <f>IF(DAY(MarSun1)=1,IF(AND(YEAR(MarSun1+19)=CalendarYear,MONTH(MarSun1+19)=3),MarSun1+19,""),IF(AND(YEAR(MarSun1+26)=CalendarYear,MONTH(MarSun1+26)=3),MarSun1+26,""))</f>
        <v>44644</v>
      </c>
      <c r="X15" s="27">
        <f>IF(DAY(MarSun1)=1,IF(AND(YEAR(MarSun1+20)=CalendarYear,MONTH(MarSun1+20)=3),MarSun1+20,""),IF(AND(YEAR(MarSun1+27)=CalendarYear,MONTH(MarSun1+27)=3),MarSun1+27,""))</f>
        <v>44645</v>
      </c>
      <c r="Y15" s="27">
        <f>IF(DAY(MarSun1)=1,IF(AND(YEAR(MarSun1+21)=CalendarYear,MONTH(MarSun1+21)=3),MarSun1+21,""),IF(AND(YEAR(MarSun1+28)=CalendarYear,MONTH(MarSun1+28)=3),MarSun1+28,""))</f>
        <v>44646</v>
      </c>
      <c r="Z15" s="13"/>
      <c r="AA15" s="27">
        <f>IF(DAY(AprSun1)=1,IF(AND(YEAR(AprSun1+15)=CalendarYear,MONTH(AprSun1+15)=4),AprSun1+15,""),IF(AND(YEAR(AprSun1+22)=CalendarYear,MONTH(AprSun1+22)=4),AprSun1+22,""))</f>
        <v>44668</v>
      </c>
      <c r="AB15" s="27">
        <f>IF(DAY(AprSun1)=1,IF(AND(YEAR(AprSun1+16)=CalendarYear,MONTH(AprSun1+16)=4),AprSun1+16,""),IF(AND(YEAR(AprSun1+23)=CalendarYear,MONTH(AprSun1+23)=4),AprSun1+23,""))</f>
        <v>44669</v>
      </c>
      <c r="AC15" s="27">
        <f>IF(DAY(AprSun1)=1,IF(AND(YEAR(AprSun1+17)=CalendarYear,MONTH(AprSun1+17)=4),AprSun1+17,""),IF(AND(YEAR(AprSun1+24)=CalendarYear,MONTH(AprSun1+24)=4),AprSun1+24,""))</f>
        <v>44670</v>
      </c>
      <c r="AD15" s="27">
        <f>IF(DAY(AprSun1)=1,IF(AND(YEAR(AprSun1+18)=CalendarYear,MONTH(AprSun1+18)=4),AprSun1+18,""),IF(AND(YEAR(AprSun1+25)=CalendarYear,MONTH(AprSun1+25)=4),AprSun1+25,""))</f>
        <v>44671</v>
      </c>
      <c r="AE15" s="27">
        <f>IF(DAY(AprSun1)=1,IF(AND(YEAR(AprSun1+19)=CalendarYear,MONTH(AprSun1+19)=4),AprSun1+19,""),IF(AND(YEAR(AprSun1+26)=CalendarYear,MONTH(AprSun1+26)=4),AprSun1+26,""))</f>
        <v>44672</v>
      </c>
      <c r="AF15" s="27">
        <f>IF(DAY(AprSun1)=1,IF(AND(YEAR(AprSun1+20)=CalendarYear,MONTH(AprSun1+20)=4),AprSun1+20,""),IF(AND(YEAR(AprSun1+27)=CalendarYear,MONTH(AprSun1+27)=4),AprSun1+27,""))</f>
        <v>44673</v>
      </c>
      <c r="AG15" s="27">
        <f>IF(DAY(AprSun1)=1,IF(AND(YEAR(AprSun1+21)=CalendarYear,MONTH(AprSun1+21)=4),AprSun1+21,""),IF(AND(YEAR(AprSun1+28)=CalendarYear,MONTH(AprSun1+28)=4),AprSun1+28,""))</f>
        <v>44674</v>
      </c>
      <c r="AH15" s="13"/>
      <c r="AI15" s="27">
        <f>IF(DAY(MaySun1)=1,IF(AND(YEAR(MaySun1+15)=CalendarYear,MONTH(MaySun1+15)=5),MaySun1+15,""),IF(AND(YEAR(MaySun1+22)=CalendarYear,MONTH(MaySun1+22)=5),MaySun1+22,""))</f>
        <v>44703</v>
      </c>
      <c r="AJ15" s="27">
        <f>IF(DAY(MaySun1)=1,IF(AND(YEAR(MaySun1+16)=CalendarYear,MONTH(MaySun1+16)=5),MaySun1+16,""),IF(AND(YEAR(MaySun1+23)=CalendarYear,MONTH(MaySun1+23)=5),MaySun1+23,""))</f>
        <v>44704</v>
      </c>
      <c r="AK15" s="27">
        <f>IF(DAY(MaySun1)=1,IF(AND(YEAR(MaySun1+17)=CalendarYear,MONTH(MaySun1+17)=5),MaySun1+17,""),IF(AND(YEAR(MaySun1+24)=CalendarYear,MONTH(MaySun1+24)=5),MaySun1+24,""))</f>
        <v>44705</v>
      </c>
      <c r="AL15" s="27">
        <f>IF(DAY(MaySun1)=1,IF(AND(YEAR(MaySun1+18)=CalendarYear,MONTH(MaySun1+18)=5),MaySun1+18,""),IF(AND(YEAR(MaySun1+25)=CalendarYear,MONTH(MaySun1+25)=5),MaySun1+25,""))</f>
        <v>44706</v>
      </c>
      <c r="AM15" s="27">
        <f>IF(DAY(MaySun1)=1,IF(AND(YEAR(MaySun1+19)=CalendarYear,MONTH(MaySun1+19)=5),MaySun1+19,""),IF(AND(YEAR(MaySun1+26)=CalendarYear,MONTH(MaySun1+26)=5),MaySun1+26,""))</f>
        <v>44707</v>
      </c>
      <c r="AN15" s="27">
        <f>IF(DAY(MaySun1)=1,IF(AND(YEAR(MaySun1+20)=CalendarYear,MONTH(MaySun1+20)=5),MaySun1+20,""),IF(AND(YEAR(MaySun1+27)=CalendarYear,MONTH(MaySun1+27)=5),MaySun1+27,""))</f>
        <v>44708</v>
      </c>
      <c r="AO15" s="27">
        <f>IF(DAY(MaySun1)=1,IF(AND(YEAR(MaySun1+21)=CalendarYear,MONTH(MaySun1+21)=5),MaySun1+21,""),IF(AND(YEAR(MaySun1+28)=CalendarYear,MONTH(MaySun1+28)=5),MaySun1+28,""))</f>
        <v>44709</v>
      </c>
      <c r="AP15" s="13"/>
      <c r="AQ15" s="27">
        <f>IF(DAY(JunSun1)=1,IF(AND(YEAR(JunSun1+15)=CalendarYear,MONTH(JunSun1+15)=6),JunSun1+15,""),IF(AND(YEAR(JunSun1+22)=CalendarYear,MONTH(JunSun1+22)=6),JunSun1+22,""))</f>
        <v>44731</v>
      </c>
      <c r="AR15" s="27">
        <f>IF(DAY(JunSun1)=1,IF(AND(YEAR(JunSun1+16)=CalendarYear,MONTH(JunSun1+16)=6),JunSun1+16,""),IF(AND(YEAR(JunSun1+23)=CalendarYear,MONTH(JunSun1+23)=6),JunSun1+23,""))</f>
        <v>44732</v>
      </c>
      <c r="AS15" s="27">
        <f>IF(DAY(JunSun1)=1,IF(AND(YEAR(JunSun1+17)=CalendarYear,MONTH(JunSun1+17)=6),JunSun1+17,""),IF(AND(YEAR(JunSun1+24)=CalendarYear,MONTH(JunSun1+24)=6),JunSun1+24,""))</f>
        <v>44733</v>
      </c>
      <c r="AT15" s="27">
        <f>IF(DAY(JunSun1)=1,IF(AND(YEAR(JunSun1+18)=CalendarYear,MONTH(JunSun1+18)=6),JunSun1+18,""),IF(AND(YEAR(JunSun1+25)=CalendarYear,MONTH(JunSun1+25)=6),JunSun1+25,""))</f>
        <v>44734</v>
      </c>
      <c r="AU15" s="27">
        <f>IF(DAY(JunSun1)=1,IF(AND(YEAR(JunSun1+19)=CalendarYear,MONTH(JunSun1+19)=6),JunSun1+19,""),IF(AND(YEAR(JunSun1+26)=CalendarYear,MONTH(JunSun1+26)=6),JunSun1+26,""))</f>
        <v>44735</v>
      </c>
      <c r="AV15" s="27">
        <f>IF(DAY(JunSun1)=1,IF(AND(YEAR(JunSun1+20)=CalendarYear,MONTH(JunSun1+20)=6),JunSun1+20,""),IF(AND(YEAR(JunSun1+27)=CalendarYear,MONTH(JunSun1+27)=6),JunSun1+27,""))</f>
        <v>44736</v>
      </c>
      <c r="AW15" s="71">
        <f>IF(DAY(JunSun1)=1,IF(AND(YEAR(JunSun1+21)=CalendarYear,MONTH(JunSun1+21)=6),JunSun1+21,""),IF(AND(YEAR(JunSun1+28)=CalendarYear,MONTH(JunSun1+28)=6),JunSun1+28,""))</f>
        <v>44737</v>
      </c>
      <c r="AX15" s="85"/>
      <c r="AY15" s="85"/>
      <c r="AZ15" s="84">
        <f>DATE(CalendarYear,7,4)</f>
        <v>44746</v>
      </c>
      <c r="BA15" s="2">
        <f t="shared" ref="BA15:BA23" si="4">IFERROR(WEEKDAY(AZ15,1),"")</f>
        <v>2</v>
      </c>
      <c r="BB15" s="85">
        <f t="shared" ref="BB15:BB23" si="5">IF(BA15=1,AZ15+1,0)</f>
        <v>0</v>
      </c>
      <c r="BC15" s="1" t="s">
        <v>79</v>
      </c>
      <c r="BD15" s="85"/>
    </row>
    <row r="16" spans="2:58" ht="15" customHeight="1" x14ac:dyDescent="0.2">
      <c r="B16" s="2"/>
      <c r="C16" s="72">
        <f>IF(DAY(JanSun1)=1,IF(AND(YEAR(JanSun1+22)=CalendarYear,MONTH(JanSun1+22)=1),JanSun1+22,""),IF(AND(YEAR(JanSun1+29)=CalendarYear,MONTH(JanSun1+29)=1),JanSun1+29,""))</f>
        <v>44584</v>
      </c>
      <c r="D16" s="27">
        <f>IF(DAY(JanSun1)=1,IF(AND(YEAR(JanSun1+23)=CalendarYear,MONTH(JanSun1+23)=1),JanSun1+23,""),IF(AND(YEAR(JanSun1+30)=CalendarYear,MONTH(JanSun1+30)=1),JanSun1+30,""))</f>
        <v>44585</v>
      </c>
      <c r="E16" s="27">
        <f>IF(DAY(JanSun1)=1,IF(AND(YEAR(JanSun1+24)=CalendarYear,MONTH(JanSun1+24)=1),JanSun1+24,""),IF(AND(YEAR(JanSun1+31)=CalendarYear,MONTH(JanSun1+31)=1),JanSun1+31,""))</f>
        <v>44586</v>
      </c>
      <c r="F16" s="27">
        <f>IF(DAY(JanSun1)=1,IF(AND(YEAR(JanSun1+25)=CalendarYear,MONTH(JanSun1+25)=1),JanSun1+25,""),IF(AND(YEAR(JanSun1+32)=CalendarYear,MONTH(JanSun1+32)=1),JanSun1+32,""))</f>
        <v>44587</v>
      </c>
      <c r="G16" s="27">
        <f>IF(DAY(JanSun1)=1,IF(AND(YEAR(JanSun1+26)=CalendarYear,MONTH(JanSun1+26)=1),JanSun1+26,""),IF(AND(YEAR(JanSun1+33)=CalendarYear,MONTH(JanSun1+33)=1),JanSun1+33,""))</f>
        <v>44588</v>
      </c>
      <c r="H16" s="27">
        <f>IF(DAY(JanSun1)=1,IF(AND(YEAR(JanSun1+27)=CalendarYear,MONTH(JanSun1+27)=1),JanSun1+27,""),IF(AND(YEAR(JanSun1+34)=CalendarYear,MONTH(JanSun1+34)=1),JanSun1+34,""))</f>
        <v>44589</v>
      </c>
      <c r="I16" s="27">
        <f>IF(DAY(JanSun1)=1,IF(AND(YEAR(JanSun1+28)=CalendarYear,MONTH(JanSun1+28)=1),JanSun1+28,""),IF(AND(YEAR(JanSun1+35)=CalendarYear,MONTH(JanSun1+35)=1),JanSun1+35,""))</f>
        <v>44590</v>
      </c>
      <c r="J16" s="13"/>
      <c r="K16" s="27">
        <f>IF(DAY(FebSun1)=1,IF(AND(YEAR(FebSun1+22)=CalendarYear,MONTH(FebSun1+22)=2),FebSun1+22,""),IF(AND(YEAR(FebSun1+29)=CalendarYear,MONTH(FebSun1+29)=2),FebSun1+29,""))</f>
        <v>44619</v>
      </c>
      <c r="L16" s="27">
        <f>IF(DAY(FebSun1)=1,IF(AND(YEAR(FebSun1+23)=CalendarYear,MONTH(FebSun1+23)=2),FebSun1+23,""),IF(AND(YEAR(FebSun1+30)=CalendarYear,MONTH(FebSun1+30)=2),FebSun1+30,""))</f>
        <v>44620</v>
      </c>
      <c r="M16" s="27" t="str">
        <f>IF(DAY(FebSun1)=1,IF(AND(YEAR(FebSun1+24)=CalendarYear,MONTH(FebSun1+24)=2),FebSun1+24,""),IF(AND(YEAR(FebSun1+31)=CalendarYear,MONTH(FebSun1+31)=2),FebSun1+31,""))</f>
        <v/>
      </c>
      <c r="N16" s="27" t="str">
        <f>IF(DAY(FebSun1)=1,IF(AND(YEAR(FebSun1+25)=CalendarYear,MONTH(FebSun1+25)=2),FebSun1+25,""),IF(AND(YEAR(FebSun1+32)=CalendarYear,MONTH(FebSun1+32)=2),FebSun1+32,""))</f>
        <v/>
      </c>
      <c r="O16" s="27" t="str">
        <f>IF(DAY(FebSun1)=1,IF(AND(YEAR(FebSun1+26)=CalendarYear,MONTH(FebSun1+26)=2),FebSun1+26,""),IF(AND(YEAR(FebSun1+33)=CalendarYear,MONTH(FebSun1+33)=2),FebSun1+33,""))</f>
        <v/>
      </c>
      <c r="P16" s="27" t="str">
        <f>IF(DAY(FebSun1)=1,IF(AND(YEAR(FebSun1+27)=CalendarYear,MONTH(FebSun1+27)=2),FebSun1+27,""),IF(AND(YEAR(FebSun1+34)=CalendarYear,MONTH(FebSun1+34)=2),FebSun1+34,""))</f>
        <v/>
      </c>
      <c r="Q16" s="27" t="str">
        <f>IF(DAY(FebSun1)=1,IF(AND(YEAR(FebSun1+28)=CalendarYear,MONTH(FebSun1+28)=2),FebSun1+28,""),IF(AND(YEAR(FebSun1+35)=CalendarYear,MONTH(FebSun1+35)=2),FebSun1+35,""))</f>
        <v/>
      </c>
      <c r="R16" s="2"/>
      <c r="S16" s="27">
        <f>IF(DAY(MarSun1)=1,IF(AND(YEAR(MarSun1+22)=CalendarYear,MONTH(MarSun1+22)=3),MarSun1+22,""),IF(AND(YEAR(MarSun1+29)=CalendarYear,MONTH(MarSun1+29)=3),MarSun1+29,""))</f>
        <v>44647</v>
      </c>
      <c r="T16" s="27">
        <f>IF(DAY(MarSun1)=1,IF(AND(YEAR(MarSun1+23)=CalendarYear,MONTH(MarSun1+23)=3),MarSun1+23,""),IF(AND(YEAR(MarSun1+30)=CalendarYear,MONTH(MarSun1+30)=3),MarSun1+30,""))</f>
        <v>44648</v>
      </c>
      <c r="U16" s="27">
        <f>IF(DAY(MarSun1)=1,IF(AND(YEAR(MarSun1+24)=CalendarYear,MONTH(MarSun1+24)=3),MarSun1+24,""),IF(AND(YEAR(MarSun1+31)=CalendarYear,MONTH(MarSun1+31)=3),MarSun1+31,""))</f>
        <v>44649</v>
      </c>
      <c r="V16" s="27">
        <f>IF(DAY(MarSun1)=1,IF(AND(YEAR(MarSun1+25)=CalendarYear,MONTH(MarSun1+25)=3),MarSun1+25,""),IF(AND(YEAR(MarSun1+32)=CalendarYear,MONTH(MarSun1+32)=3),MarSun1+32,""))</f>
        <v>44650</v>
      </c>
      <c r="W16" s="27">
        <f>IF(DAY(MarSun1)=1,IF(AND(YEAR(MarSun1+26)=CalendarYear,MONTH(MarSun1+26)=3),MarSun1+26,""),IF(AND(YEAR(MarSun1+33)=CalendarYear,MONTH(MarSun1+33)=3),MarSun1+33,""))</f>
        <v>44651</v>
      </c>
      <c r="X16" s="27" t="str">
        <f>IF(DAY(MarSun1)=1,IF(AND(YEAR(MarSun1+27)=CalendarYear,MONTH(MarSun1+27)=3),MarSun1+27,""),IF(AND(YEAR(MarSun1+34)=CalendarYear,MONTH(MarSun1+34)=3),MarSun1+34,""))</f>
        <v/>
      </c>
      <c r="Y16" s="27" t="str">
        <f>IF(DAY(MarSun1)=1,IF(AND(YEAR(MarSun1+28)=CalendarYear,MONTH(MarSun1+28)=3),MarSun1+28,""),IF(AND(YEAR(MarSun1+35)=CalendarYear,MONTH(MarSun1+35)=3),MarSun1+35,""))</f>
        <v/>
      </c>
      <c r="Z16" s="13"/>
      <c r="AA16" s="27">
        <f>IF(DAY(AprSun1)=1,IF(AND(YEAR(AprSun1+22)=CalendarYear,MONTH(AprSun1+22)=4),AprSun1+22,""),IF(AND(YEAR(AprSun1+29)=CalendarYear,MONTH(AprSun1+29)=4),AprSun1+29,""))</f>
        <v>44675</v>
      </c>
      <c r="AB16" s="27">
        <f>IF(DAY(AprSun1)=1,IF(AND(YEAR(AprSun1+23)=CalendarYear,MONTH(AprSun1+23)=4),AprSun1+23,""),IF(AND(YEAR(AprSun1+30)=CalendarYear,MONTH(AprSun1+30)=4),AprSun1+30,""))</f>
        <v>44676</v>
      </c>
      <c r="AC16" s="27">
        <f>IF(DAY(AprSun1)=1,IF(AND(YEAR(AprSun1+24)=CalendarYear,MONTH(AprSun1+24)=4),AprSun1+24,""),IF(AND(YEAR(AprSun1+31)=CalendarYear,MONTH(AprSun1+31)=4),AprSun1+31,""))</f>
        <v>44677</v>
      </c>
      <c r="AD16" s="27">
        <f>IF(DAY(AprSun1)=1,IF(AND(YEAR(AprSun1+25)=CalendarYear,MONTH(AprSun1+25)=4),AprSun1+25,""),IF(AND(YEAR(AprSun1+32)=CalendarYear,MONTH(AprSun1+32)=4),AprSun1+32,""))</f>
        <v>44678</v>
      </c>
      <c r="AE16" s="27">
        <f>IF(DAY(AprSun1)=1,IF(AND(YEAR(AprSun1+26)=CalendarYear,MONTH(AprSun1+26)=4),AprSun1+26,""),IF(AND(YEAR(AprSun1+33)=CalendarYear,MONTH(AprSun1+33)=4),AprSun1+33,""))</f>
        <v>44679</v>
      </c>
      <c r="AF16" s="27">
        <f>IF(DAY(AprSun1)=1,IF(AND(YEAR(AprSun1+27)=CalendarYear,MONTH(AprSun1+27)=4),AprSun1+27,""),IF(AND(YEAR(AprSun1+34)=CalendarYear,MONTH(AprSun1+34)=4),AprSun1+34,""))</f>
        <v>44680</v>
      </c>
      <c r="AG16" s="27">
        <f>IF(DAY(AprSun1)=1,IF(AND(YEAR(AprSun1+28)=CalendarYear,MONTH(AprSun1+28)=4),AprSun1+28,""),IF(AND(YEAR(AprSun1+35)=CalendarYear,MONTH(AprSun1+35)=4),AprSun1+35,""))</f>
        <v>44681</v>
      </c>
      <c r="AH16" s="13"/>
      <c r="AI16" s="27">
        <f>IF(DAY(MaySun1)=1,IF(AND(YEAR(MaySun1+22)=CalendarYear,MONTH(MaySun1+22)=5),MaySun1+22,""),IF(AND(YEAR(MaySun1+29)=CalendarYear,MONTH(MaySun1+29)=5),MaySun1+29,""))</f>
        <v>44710</v>
      </c>
      <c r="AJ16" s="27">
        <f>IF(DAY(MaySun1)=1,IF(AND(YEAR(MaySun1+23)=CalendarYear,MONTH(MaySun1+23)=5),MaySun1+23,""),IF(AND(YEAR(MaySun1+30)=CalendarYear,MONTH(MaySun1+30)=5),MaySun1+30,""))</f>
        <v>44711</v>
      </c>
      <c r="AK16" s="27">
        <f>IF(DAY(MaySun1)=1,IF(AND(YEAR(MaySun1+24)=CalendarYear,MONTH(MaySun1+24)=5),MaySun1+24,""),IF(AND(YEAR(MaySun1+31)=CalendarYear,MONTH(MaySun1+31)=5),MaySun1+31,""))</f>
        <v>44712</v>
      </c>
      <c r="AL16" s="27" t="str">
        <f>IF(DAY(MaySun1)=1,IF(AND(YEAR(MaySun1+25)=CalendarYear,MONTH(MaySun1+25)=5),MaySun1+25,""),IF(AND(YEAR(MaySun1+32)=CalendarYear,MONTH(MaySun1+32)=5),MaySun1+32,""))</f>
        <v/>
      </c>
      <c r="AM16" s="27" t="str">
        <f>IF(DAY(MaySun1)=1,IF(AND(YEAR(MaySun1+26)=CalendarYear,MONTH(MaySun1+26)=5),MaySun1+26,""),IF(AND(YEAR(MaySun1+33)=CalendarYear,MONTH(MaySun1+33)=5),MaySun1+33,""))</f>
        <v/>
      </c>
      <c r="AN16" s="27" t="str">
        <f>IF(DAY(MaySun1)=1,IF(AND(YEAR(MaySun1+27)=CalendarYear,MONTH(MaySun1+27)=5),MaySun1+27,""),IF(AND(YEAR(MaySun1+34)=CalendarYear,MONTH(MaySun1+34)=5),MaySun1+34,""))</f>
        <v/>
      </c>
      <c r="AO16" s="27" t="str">
        <f>IF(DAY(MaySun1)=1,IF(AND(YEAR(MaySun1+28)=CalendarYear,MONTH(MaySun1+28)=5),MaySun1+28,""),IF(AND(YEAR(MaySun1+35)=CalendarYear,MONTH(MaySun1+35)=5),MaySun1+35,""))</f>
        <v/>
      </c>
      <c r="AP16" s="13"/>
      <c r="AQ16" s="27">
        <f>IF(DAY(JunSun1)=1,IF(AND(YEAR(JunSun1+22)=CalendarYear,MONTH(JunSun1+22)=6),JunSun1+22,""),IF(AND(YEAR(JunSun1+29)=CalendarYear,MONTH(JunSun1+29)=6),JunSun1+29,""))</f>
        <v>44738</v>
      </c>
      <c r="AR16" s="27">
        <f>IF(DAY(JunSun1)=1,IF(AND(YEAR(JunSun1+23)=CalendarYear,MONTH(JunSun1+23)=6),JunSun1+23,""),IF(AND(YEAR(JunSun1+30)=CalendarYear,MONTH(JunSun1+30)=6),JunSun1+30,""))</f>
        <v>44739</v>
      </c>
      <c r="AS16" s="27">
        <f>IF(DAY(JunSun1)=1,IF(AND(YEAR(JunSun1+24)=CalendarYear,MONTH(JunSun1+24)=6),JunSun1+24,""),IF(AND(YEAR(JunSun1+31)=CalendarYear,MONTH(JunSun1+31)=6),JunSun1+31,""))</f>
        <v>44740</v>
      </c>
      <c r="AT16" s="27">
        <f>IF(DAY(JunSun1)=1,IF(AND(YEAR(JunSun1+25)=CalendarYear,MONTH(JunSun1+25)=6),JunSun1+25,""),IF(AND(YEAR(JunSun1+32)=CalendarYear,MONTH(JunSun1+32)=6),JunSun1+32,""))</f>
        <v>44741</v>
      </c>
      <c r="AU16" s="27">
        <f>IF(DAY(JunSun1)=1,IF(AND(YEAR(JunSun1+26)=CalendarYear,MONTH(JunSun1+26)=6),JunSun1+26,""),IF(AND(YEAR(JunSun1+33)=CalendarYear,MONTH(JunSun1+33)=6),JunSun1+33,""))</f>
        <v>44742</v>
      </c>
      <c r="AV16" s="27" t="str">
        <f>IF(DAY(JunSun1)=1,IF(AND(YEAR(JunSun1+27)=CalendarYear,MONTH(JunSun1+27)=6),JunSun1+27,""),IF(AND(YEAR(JunSun1+34)=CalendarYear,MONTH(JunSun1+34)=6),JunSun1+34,""))</f>
        <v/>
      </c>
      <c r="AW16" s="71" t="str">
        <f>IF(DAY(JunSun1)=1,IF(AND(YEAR(JunSun1+28)=CalendarYear,MONTH(JunSun1+28)=6),JunSun1+28,""),IF(AND(YEAR(JunSun1+35)=CalendarYear,MONTH(JunSun1+35)=6),JunSun1+35,""))</f>
        <v/>
      </c>
      <c r="AX16" s="85"/>
      <c r="AY16" s="85"/>
      <c r="AZ16" s="81">
        <f>DATE(CalendarYear,7,25)</f>
        <v>44767</v>
      </c>
      <c r="BA16" s="2">
        <f t="shared" si="4"/>
        <v>2</v>
      </c>
      <c r="BB16" s="85">
        <f t="shared" si="5"/>
        <v>0</v>
      </c>
      <c r="BC16" s="1" t="s">
        <v>97</v>
      </c>
      <c r="BD16" s="85"/>
      <c r="BE16" s="85"/>
      <c r="BF16" s="2"/>
    </row>
    <row r="17" spans="1:58" ht="15" customHeight="1" x14ac:dyDescent="0.2">
      <c r="B17" s="2"/>
      <c r="C17" s="72">
        <f>IF(DAY(JanSun1)=1,IF(AND(YEAR(JanSun1+29)=CalendarYear,MONTH(JanSun1+29)=1),JanSun1+29,""),IF(AND(YEAR(JanSun1+36)=CalendarYear,MONTH(JanSun1+36)=1),JanSun1+36,""))</f>
        <v>44591</v>
      </c>
      <c r="D17" s="27">
        <f>IF(DAY(JanSun1)=1,IF(AND(YEAR(JanSun1+30)=CalendarYear,MONTH(JanSun1+30)=1),JanSun1+30,""),IF(AND(YEAR(JanSun1+37)=CalendarYear,MONTH(JanSun1+37)=1),JanSun1+37,""))</f>
        <v>44592</v>
      </c>
      <c r="E17" s="27" t="str">
        <f>IF(DAY(JanSun1)=1,IF(AND(YEAR(JanSun1+31)=CalendarYear,MONTH(JanSun1+31)=1),JanSun1+31,""),IF(AND(YEAR(JanSun1+38)=CalendarYear,MONTH(JanSun1+38)=1),JanSun1+38,""))</f>
        <v/>
      </c>
      <c r="F17" s="27" t="str">
        <f>IF(DAY(JanSun1)=1,IF(AND(YEAR(JanSun1+32)=CalendarYear,MONTH(JanSun1+32)=1),JanSun1+32,""),IF(AND(YEAR(JanSun1+39)=CalendarYear,MONTH(JanSun1+39)=1),JanSun1+39,""))</f>
        <v/>
      </c>
      <c r="G17" s="27" t="str">
        <f>IF(DAY(JanSun1)=1,IF(AND(YEAR(JanSun1+33)=CalendarYear,MONTH(JanSun1+33)=1),JanSun1+33,""),IF(AND(YEAR(JanSun1+40)=CalendarYear,MONTH(JanSun1+40)=1),JanSun1+40,""))</f>
        <v/>
      </c>
      <c r="H17" s="27" t="str">
        <f>IF(DAY(JanSun1)=1,IF(AND(YEAR(JanSun1+34)=CalendarYear,MONTH(JanSun1+34)=1),JanSun1+34,""),IF(AND(YEAR(JanSun1+41)=CalendarYear,MONTH(JanSun1+41)=1),JanSun1+41,""))</f>
        <v/>
      </c>
      <c r="I17" s="27" t="str">
        <f>IF(DAY(JanSun1)=1,IF(AND(YEAR(JanSun1+35)=CalendarYear,MONTH(JanSun1+35)=1),JanSun1+35,""),IF(AND(YEAR(JanSun1+42)=CalendarYear,MONTH(JanSun1+42)=1),JanSun1+42,""))</f>
        <v/>
      </c>
      <c r="J17" s="13"/>
      <c r="K17" s="27" t="str">
        <f>IF(DAY(FebSun1)=1,IF(AND(YEAR(FebSun1+29)=CalendarYear,MONTH(FebSun1+29)=2),FebSun1+29,""),IF(AND(YEAR(FebSun1+36)=CalendarYear,MONTH(FebSun1+36)=2),FebSun1+36,""))</f>
        <v/>
      </c>
      <c r="L17" s="27" t="str">
        <f>IF(DAY(FebSun1)=1,IF(AND(YEAR(FebSun1+30)=CalendarYear,MONTH(FebSun1+30)=2),FebSun1+30,""),IF(AND(YEAR(FebSun1+37)=CalendarYear,MONTH(FebSun1+37)=2),FebSun1+37,""))</f>
        <v/>
      </c>
      <c r="M17" s="27" t="str">
        <f>IF(DAY(FebSun1)=1,IF(AND(YEAR(FebSun1+31)=CalendarYear,MONTH(FebSun1+31)=2),FebSun1+31,""),IF(AND(YEAR(FebSun1+38)=CalendarYear,MONTH(FebSun1+38)=2),FebSun1+38,""))</f>
        <v/>
      </c>
      <c r="N17" s="27" t="str">
        <f>IF(DAY(FebSun1)=1,IF(AND(YEAR(FebSun1+32)=CalendarYear,MONTH(FebSun1+32)=2),FebSun1+32,""),IF(AND(YEAR(FebSun1+39)=CalendarYear,MONTH(FebSun1+39)=2),FebSun1+39,""))</f>
        <v/>
      </c>
      <c r="O17" s="27" t="str">
        <f>IF(DAY(FebSun1)=1,IF(AND(YEAR(FebSun1+33)=CalendarYear,MONTH(FebSun1+33)=2),FebSun1+33,""),IF(AND(YEAR(FebSun1+40)=CalendarYear,MONTH(FebSun1+40)=2),FebSun1+40,""))</f>
        <v/>
      </c>
      <c r="P17" s="27" t="str">
        <f>IF(DAY(FebSun1)=1,IF(AND(YEAR(FebSun1+34)=CalendarYear,MONTH(FebSun1+34)=2),FebSun1+34,""),IF(AND(YEAR(FebSun1+41)=CalendarYear,MONTH(FebSun1+41)=2),FebSun1+41,""))</f>
        <v/>
      </c>
      <c r="Q17" s="27" t="str">
        <f>IF(DAY(FebSun1)=1,IF(AND(YEAR(FebSun1+35)=CalendarYear,MONTH(FebSun1+35)=2),FebSun1+35,""),IF(AND(YEAR(FebSun1+42)=CalendarYear,MONTH(FebSun1+42)=2),FebSun1+42,""))</f>
        <v/>
      </c>
      <c r="R17" s="2"/>
      <c r="S17" s="27" t="str">
        <f>IF(DAY(MarSun1)=1,IF(AND(YEAR(MarSun1+29)=CalendarYear,MONTH(MarSun1+29)=3),MarSun1+29,""),IF(AND(YEAR(MarSun1+36)=CalendarYear,MONTH(MarSun1+36)=3),MarSun1+36,""))</f>
        <v/>
      </c>
      <c r="T17" s="27" t="str">
        <f>IF(DAY(MarSun1)=1,IF(AND(YEAR(MarSun1+30)=CalendarYear,MONTH(MarSun1+30)=3),MarSun1+30,""),IF(AND(YEAR(MarSun1+37)=CalendarYear,MONTH(MarSun1+37)=3),MarSun1+37,""))</f>
        <v/>
      </c>
      <c r="U17" s="27" t="str">
        <f>IF(DAY(MarSun1)=1,IF(AND(YEAR(MarSun1+31)=CalendarYear,MONTH(MarSun1+31)=3),MarSun1+31,""),IF(AND(YEAR(MarSun1+38)=CalendarYear,MONTH(MarSun1+38)=3),MarSun1+38,""))</f>
        <v/>
      </c>
      <c r="V17" s="27" t="str">
        <f>IF(DAY(MarSun1)=1,IF(AND(YEAR(MarSun1+32)=CalendarYear,MONTH(MarSun1+32)=3),MarSun1+32,""),IF(AND(YEAR(MarSun1+39)=CalendarYear,MONTH(MarSun1+39)=3),MarSun1+39,""))</f>
        <v/>
      </c>
      <c r="W17" s="27" t="str">
        <f>IF(DAY(MarSun1)=1,IF(AND(YEAR(MarSun1+33)=CalendarYear,MONTH(MarSun1+33)=3),MarSun1+33,""),IF(AND(YEAR(MarSun1+40)=CalendarYear,MONTH(MarSun1+40)=3),MarSun1+40,""))</f>
        <v/>
      </c>
      <c r="X17" s="27" t="str">
        <f>IF(DAY(MarSun1)=1,IF(AND(YEAR(MarSun1+34)=CalendarYear,MONTH(MarSun1+34)=3),MarSun1+34,""),IF(AND(YEAR(MarSun1+41)=CalendarYear,MONTH(MarSun1+41)=3),MarSun1+41,""))</f>
        <v/>
      </c>
      <c r="Y17" s="27" t="str">
        <f>IF(DAY(MarSun1)=1,IF(AND(YEAR(MarSun1+35)=CalendarYear,MONTH(MarSun1+35)=3),MarSun1+35,""),IF(AND(YEAR(MarSun1+42)=CalendarYear,MONTH(MarSun1+42)=3),MarSun1+42,""))</f>
        <v/>
      </c>
      <c r="Z17" s="13"/>
      <c r="AA17" s="27" t="str">
        <f>IF(DAY(AprSun1)=1,IF(AND(YEAR(AprSun1+29)=CalendarYear,MONTH(AprSun1+29)=4),AprSun1+29,""),IF(AND(YEAR(AprSun1+36)=CalendarYear,MONTH(AprSun1+36)=4),AprSun1+36,""))</f>
        <v/>
      </c>
      <c r="AB17" s="27" t="str">
        <f>IF(DAY(AprSun1)=1,IF(AND(YEAR(AprSun1+30)=CalendarYear,MONTH(AprSun1+30)=4),AprSun1+30,""),IF(AND(YEAR(AprSun1+37)=CalendarYear,MONTH(AprSun1+37)=4),AprSun1+37,""))</f>
        <v/>
      </c>
      <c r="AC17" s="27" t="str">
        <f>IF(DAY(AprSun1)=1,IF(AND(YEAR(AprSun1+31)=CalendarYear,MONTH(AprSun1+31)=4),AprSun1+31,""),IF(AND(YEAR(AprSun1+38)=CalendarYear,MONTH(AprSun1+38)=4),AprSun1+38,""))</f>
        <v/>
      </c>
      <c r="AD17" s="27" t="str">
        <f>IF(DAY(AprSun1)=1,IF(AND(YEAR(AprSun1+32)=CalendarYear,MONTH(AprSun1+32)=4),AprSun1+32,""),IF(AND(YEAR(AprSun1+39)=CalendarYear,MONTH(AprSun1+39)=4),AprSun1+39,""))</f>
        <v/>
      </c>
      <c r="AE17" s="27" t="str">
        <f>IF(DAY(AprSun1)=1,IF(AND(YEAR(AprSun1+33)=CalendarYear,MONTH(AprSun1+33)=4),AprSun1+33,""),IF(AND(YEAR(AprSun1+40)=CalendarYear,MONTH(AprSun1+40)=4),AprSun1+40,""))</f>
        <v/>
      </c>
      <c r="AF17" s="27" t="str">
        <f>IF(DAY(AprSun1)=1,IF(AND(YEAR(AprSun1+34)=CalendarYear,MONTH(AprSun1+34)=4),AprSun1+34,""),IF(AND(YEAR(AprSun1+41)=CalendarYear,MONTH(AprSun1+41)=4),AprSun1+41,""))</f>
        <v/>
      </c>
      <c r="AG17" s="27" t="str">
        <f>IF(DAY(AprSun1)=1,IF(AND(YEAR(AprSun1+35)=CalendarYear,MONTH(AprSun1+35)=4),AprSun1+35,""),IF(AND(YEAR(AprSun1+42)=CalendarYear,MONTH(AprSun1+42)=4),AprSun1+42,""))</f>
        <v/>
      </c>
      <c r="AH17" s="13"/>
      <c r="AI17" s="27" t="str">
        <f>IF(DAY(MaySun1)=1,IF(AND(YEAR(MaySun1+29)=CalendarYear,MONTH(MaySun1+29)=5),MaySun1+29,""),IF(AND(YEAR(MaySun1+36)=CalendarYear,MONTH(MaySun1+36)=5),MaySun1+36,""))</f>
        <v/>
      </c>
      <c r="AJ17" s="27" t="str">
        <f>IF(DAY(MaySun1)=1,IF(AND(YEAR(MaySun1+30)=CalendarYear,MONTH(MaySun1+30)=5),MaySun1+30,""),IF(AND(YEAR(MaySun1+37)=CalendarYear,MONTH(MaySun1+37)=5),MaySun1+37,""))</f>
        <v/>
      </c>
      <c r="AK17" s="27" t="str">
        <f>IF(DAY(MaySun1)=1,IF(AND(YEAR(MaySun1+31)=CalendarYear,MONTH(MaySun1+31)=5),MaySun1+31,""),IF(AND(YEAR(MaySun1+38)=CalendarYear,MONTH(MaySun1+38)=5),MaySun1+38,""))</f>
        <v/>
      </c>
      <c r="AL17" s="27" t="str">
        <f>IF(DAY(MaySun1)=1,IF(AND(YEAR(MaySun1+32)=CalendarYear,MONTH(MaySun1+32)=5),MaySun1+32,""),IF(AND(YEAR(MaySun1+39)=CalendarYear,MONTH(MaySun1+39)=5),MaySun1+39,""))</f>
        <v/>
      </c>
      <c r="AM17" s="27" t="str">
        <f>IF(DAY(MaySun1)=1,IF(AND(YEAR(MaySun1+33)=CalendarYear,MONTH(MaySun1+33)=5),MaySun1+33,""),IF(AND(YEAR(MaySun1+40)=CalendarYear,MONTH(MaySun1+40)=5),MaySun1+40,""))</f>
        <v/>
      </c>
      <c r="AN17" s="27" t="str">
        <f>IF(DAY(MaySun1)=1,IF(AND(YEAR(MaySun1+34)=CalendarYear,MONTH(MaySun1+34)=5),MaySun1+34,""),IF(AND(YEAR(MaySun1+41)=CalendarYear,MONTH(MaySun1+41)=5),MaySun1+41,""))</f>
        <v/>
      </c>
      <c r="AO17" s="27" t="str">
        <f>IF(DAY(MaySun1)=1,IF(AND(YEAR(MaySun1+35)=CalendarYear,MONTH(MaySun1+35)=5),MaySun1+35,""),IF(AND(YEAR(MaySun1+42)=CalendarYear,MONTH(MaySun1+42)=5),MaySun1+42,""))</f>
        <v/>
      </c>
      <c r="AP17" s="13"/>
      <c r="AQ17" s="27" t="str">
        <f>IF(DAY(JunSun1)=1,IF(AND(YEAR(JunSun1+29)=CalendarYear,MONTH(JunSun1+29)=6),JunSun1+29,""),IF(AND(YEAR(JunSun1+36)=CalendarYear,MONTH(JunSun1+36)=6),JunSun1+36,""))</f>
        <v/>
      </c>
      <c r="AR17" s="27" t="str">
        <f>IF(DAY(JunSun1)=1,IF(AND(YEAR(JunSun1+30)=CalendarYear,MONTH(JunSun1+30)=6),JunSun1+30,""),IF(AND(YEAR(JunSun1+37)=CalendarYear,MONTH(JunSun1+37)=6),JunSun1+37,""))</f>
        <v/>
      </c>
      <c r="AS17" s="27" t="str">
        <f>IF(DAY(JunSun1)=1,IF(AND(YEAR(JunSun1+31)=CalendarYear,MONTH(JunSun1+31)=6),JunSun1+31,""),IF(AND(YEAR(JunSun1+38)=CalendarYear,MONTH(JunSun1+38)=6),JunSun1+38,""))</f>
        <v/>
      </c>
      <c r="AT17" s="27" t="str">
        <f>IF(DAY(JunSun1)=1,IF(AND(YEAR(JunSun1+32)=CalendarYear,MONTH(JunSun1+32)=6),JunSun1+32,""),IF(AND(YEAR(JunSun1+39)=CalendarYear,MONTH(JunSun1+39)=6),JunSun1+39,""))</f>
        <v/>
      </c>
      <c r="AU17" s="27" t="str">
        <f>IF(DAY(JunSun1)=1,IF(AND(YEAR(JunSun1+33)=CalendarYear,MONTH(JunSun1+33)=6),JunSun1+33,""),IF(AND(YEAR(JunSun1+40)=CalendarYear,MONTH(JunSun1+40)=6),JunSun1+40,""))</f>
        <v/>
      </c>
      <c r="AV17" s="27" t="str">
        <f>IF(DAY(JunSun1)=1,IF(AND(YEAR(JunSun1+34)=CalendarYear,MONTH(JunSun1+34)=6),JunSun1+34,""),IF(AND(YEAR(JunSun1+41)=CalendarYear,MONTH(JunSun1+41)=6),JunSun1+41,""))</f>
        <v/>
      </c>
      <c r="AW17" s="71" t="str">
        <f>IF(DAY(JunSun1)=1,IF(AND(YEAR(JunSun1+35)=CalendarYear,MONTH(JunSun1+35)=6),JunSun1+35,""),IF(AND(YEAR(JunSun1+42)=CalendarYear,MONTH(JunSun1+42)=6),JunSun1+42,""))</f>
        <v/>
      </c>
      <c r="AX17" s="85"/>
      <c r="AY17" s="85"/>
      <c r="AZ17" s="81">
        <f>DATE(CalendarYear,7,27)</f>
        <v>44769</v>
      </c>
      <c r="BA17" s="2">
        <f t="shared" si="4"/>
        <v>4</v>
      </c>
      <c r="BB17" s="85">
        <f t="shared" si="5"/>
        <v>0</v>
      </c>
      <c r="BC17" s="1" t="s">
        <v>98</v>
      </c>
      <c r="BD17" s="85"/>
      <c r="BE17" s="85"/>
      <c r="BF17" s="2"/>
    </row>
    <row r="18" spans="1:58" ht="15" customHeight="1" thickBot="1" x14ac:dyDescent="0.25">
      <c r="B18" s="2"/>
      <c r="C18" s="73"/>
      <c r="D18" s="13"/>
      <c r="E18" s="13"/>
      <c r="F18" s="13"/>
      <c r="G18" s="13"/>
      <c r="H18" s="13"/>
      <c r="I18" s="13"/>
      <c r="J18" s="13"/>
      <c r="K18" s="45"/>
      <c r="L18" s="45"/>
      <c r="M18" s="45"/>
      <c r="N18" s="45"/>
      <c r="O18" s="45"/>
      <c r="P18" s="45"/>
      <c r="Q18" s="45"/>
      <c r="R18" s="46"/>
      <c r="S18" s="47"/>
      <c r="T18" s="48"/>
      <c r="U18" s="48"/>
      <c r="V18" s="48"/>
      <c r="W18" s="48"/>
      <c r="X18" s="48"/>
      <c r="Y18" s="46"/>
      <c r="Z18" s="48"/>
      <c r="AA18" s="48"/>
      <c r="AB18" s="48"/>
      <c r="AC18" s="48"/>
      <c r="AD18" s="48"/>
      <c r="AE18" s="48"/>
      <c r="AF18" s="48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74"/>
      <c r="AX18" s="85"/>
      <c r="AY18" s="85"/>
      <c r="AZ18" s="81">
        <f>MIN(September[LUN])</f>
        <v>44809</v>
      </c>
      <c r="BA18" s="2">
        <f t="shared" si="4"/>
        <v>2</v>
      </c>
      <c r="BB18" s="85">
        <f t="shared" si="5"/>
        <v>0</v>
      </c>
      <c r="BC18" s="1" t="s">
        <v>82</v>
      </c>
      <c r="BD18" s="85"/>
      <c r="BE18" s="85"/>
      <c r="BF18" s="2"/>
    </row>
    <row r="19" spans="1:58" ht="14.4" customHeight="1" thickTop="1" thickBot="1" x14ac:dyDescent="0.35">
      <c r="C19" s="100" t="s">
        <v>6</v>
      </c>
      <c r="D19" s="101"/>
      <c r="E19" s="101"/>
      <c r="F19" s="101"/>
      <c r="G19" s="101"/>
      <c r="H19" s="101"/>
      <c r="I19" s="107"/>
      <c r="J19" s="41"/>
      <c r="K19" s="113" t="s">
        <v>7</v>
      </c>
      <c r="L19" s="101"/>
      <c r="M19" s="101"/>
      <c r="N19" s="101"/>
      <c r="O19" s="101"/>
      <c r="P19" s="101"/>
      <c r="Q19" s="107"/>
      <c r="R19" s="41"/>
      <c r="S19" s="113" t="s">
        <v>8</v>
      </c>
      <c r="T19" s="101"/>
      <c r="U19" s="101"/>
      <c r="V19" s="101"/>
      <c r="W19" s="101"/>
      <c r="X19" s="101"/>
      <c r="Y19" s="107"/>
      <c r="Z19" s="41"/>
      <c r="AA19" s="113" t="s">
        <v>9</v>
      </c>
      <c r="AB19" s="101"/>
      <c r="AC19" s="101"/>
      <c r="AD19" s="101"/>
      <c r="AE19" s="101"/>
      <c r="AF19" s="101"/>
      <c r="AG19" s="101"/>
      <c r="AH19" s="41"/>
      <c r="AI19" s="101" t="s">
        <v>10</v>
      </c>
      <c r="AJ19" s="101"/>
      <c r="AK19" s="101"/>
      <c r="AL19" s="101"/>
      <c r="AM19" s="101"/>
      <c r="AN19" s="101"/>
      <c r="AO19" s="101"/>
      <c r="AP19" s="41"/>
      <c r="AQ19" s="101" t="s">
        <v>11</v>
      </c>
      <c r="AR19" s="101"/>
      <c r="AS19" s="101"/>
      <c r="AT19" s="101"/>
      <c r="AU19" s="101"/>
      <c r="AV19" s="101"/>
      <c r="AW19" s="110"/>
      <c r="AX19" s="85"/>
      <c r="AY19" s="85"/>
      <c r="AZ19" s="85">
        <f>MIN(October[LUN])+7</f>
        <v>44844</v>
      </c>
      <c r="BA19" s="2">
        <f t="shared" si="4"/>
        <v>2</v>
      </c>
      <c r="BB19" s="85">
        <f t="shared" si="5"/>
        <v>0</v>
      </c>
      <c r="BC19" s="1" t="s">
        <v>83</v>
      </c>
      <c r="BD19" s="85"/>
      <c r="BE19" s="85"/>
      <c r="BF19" s="2"/>
    </row>
    <row r="20" spans="1:58" ht="1.8" hidden="1" customHeight="1" thickTop="1" thickBot="1" x14ac:dyDescent="0.3">
      <c r="C20" s="108"/>
      <c r="D20" s="109"/>
      <c r="E20" s="109"/>
      <c r="F20" s="109"/>
      <c r="G20" s="109"/>
      <c r="H20" s="109"/>
      <c r="I20" s="109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10"/>
      <c r="AX20" s="85"/>
      <c r="AY20" s="85"/>
      <c r="AZ20" s="85">
        <f>DATE(CalendarYear,11,11)</f>
        <v>44876</v>
      </c>
      <c r="BA20" s="2">
        <f t="shared" si="4"/>
        <v>6</v>
      </c>
      <c r="BB20" s="85">
        <f t="shared" si="5"/>
        <v>0</v>
      </c>
      <c r="BC20" s="1" t="s">
        <v>84</v>
      </c>
      <c r="BD20" s="85"/>
      <c r="BE20" s="85"/>
      <c r="BF20" s="2"/>
    </row>
    <row r="21" spans="1:58" ht="15" customHeight="1" thickTop="1" x14ac:dyDescent="0.25">
      <c r="B21" s="2"/>
      <c r="C21" s="75" t="s">
        <v>12</v>
      </c>
      <c r="D21" s="29" t="s">
        <v>13</v>
      </c>
      <c r="E21" s="29" t="s">
        <v>14</v>
      </c>
      <c r="F21" s="29" t="s">
        <v>15</v>
      </c>
      <c r="G21" s="29" t="s">
        <v>16</v>
      </c>
      <c r="H21" s="29" t="s">
        <v>17</v>
      </c>
      <c r="I21" s="29" t="s">
        <v>18</v>
      </c>
      <c r="J21" s="13"/>
      <c r="K21" s="30" t="s">
        <v>12</v>
      </c>
      <c r="L21" s="30" t="s">
        <v>13</v>
      </c>
      <c r="M21" s="30" t="s">
        <v>14</v>
      </c>
      <c r="N21" s="30" t="s">
        <v>15</v>
      </c>
      <c r="O21" s="30" t="s">
        <v>16</v>
      </c>
      <c r="P21" s="30" t="s">
        <v>17</v>
      </c>
      <c r="Q21" s="30" t="s">
        <v>18</v>
      </c>
      <c r="R21" s="42"/>
      <c r="S21" s="30" t="s">
        <v>12</v>
      </c>
      <c r="T21" s="30" t="s">
        <v>13</v>
      </c>
      <c r="U21" s="30" t="s">
        <v>14</v>
      </c>
      <c r="V21" s="30" t="s">
        <v>15</v>
      </c>
      <c r="W21" s="30" t="s">
        <v>16</v>
      </c>
      <c r="X21" s="30" t="s">
        <v>17</v>
      </c>
      <c r="Y21" s="30" t="s">
        <v>18</v>
      </c>
      <c r="Z21" s="43"/>
      <c r="AA21" s="30" t="s">
        <v>12</v>
      </c>
      <c r="AB21" s="30" t="s">
        <v>13</v>
      </c>
      <c r="AC21" s="30" t="s">
        <v>14</v>
      </c>
      <c r="AD21" s="30" t="s">
        <v>15</v>
      </c>
      <c r="AE21" s="30" t="s">
        <v>16</v>
      </c>
      <c r="AF21" s="30" t="s">
        <v>17</v>
      </c>
      <c r="AG21" s="30" t="s">
        <v>18</v>
      </c>
      <c r="AH21" s="42"/>
      <c r="AI21" s="30" t="s">
        <v>12</v>
      </c>
      <c r="AJ21" s="30" t="s">
        <v>13</v>
      </c>
      <c r="AK21" s="30" t="s">
        <v>14</v>
      </c>
      <c r="AL21" s="30" t="s">
        <v>15</v>
      </c>
      <c r="AM21" s="30" t="s">
        <v>16</v>
      </c>
      <c r="AN21" s="30" t="s">
        <v>17</v>
      </c>
      <c r="AO21" s="30" t="s">
        <v>18</v>
      </c>
      <c r="AP21" s="44"/>
      <c r="AQ21" s="30" t="s">
        <v>12</v>
      </c>
      <c r="AR21" s="30" t="s">
        <v>13</v>
      </c>
      <c r="AS21" s="30" t="s">
        <v>14</v>
      </c>
      <c r="AT21" s="30" t="s">
        <v>15</v>
      </c>
      <c r="AU21" s="30" t="s">
        <v>16</v>
      </c>
      <c r="AV21" s="30" t="s">
        <v>17</v>
      </c>
      <c r="AW21" s="80" t="s">
        <v>18</v>
      </c>
      <c r="AX21" s="86"/>
      <c r="AY21" s="85"/>
      <c r="AZ21" s="85">
        <f>DATE(CalendarYear,11,19)</f>
        <v>44884</v>
      </c>
      <c r="BA21" s="2">
        <f t="shared" si="4"/>
        <v>7</v>
      </c>
      <c r="BB21" s="85">
        <f t="shared" si="5"/>
        <v>0</v>
      </c>
      <c r="BC21" s="1" t="s">
        <v>85</v>
      </c>
      <c r="BD21" s="85"/>
      <c r="BE21" s="85"/>
      <c r="BF21" s="2"/>
    </row>
    <row r="22" spans="1:58" ht="15" customHeight="1" x14ac:dyDescent="0.2">
      <c r="B22" s="2"/>
      <c r="C22" s="70" t="str">
        <f>IF(DAY(JulSun1)=1,"",IF(AND(YEAR(JulSun1+1)=CalendarYear,MONTH(JulSun1+1)=7),JulSun1+1,""))</f>
        <v/>
      </c>
      <c r="D22" s="28" t="str">
        <f>IF(DAY(JulSun1)=1,"",IF(AND(YEAR(JulSun1+2)=CalendarYear,MONTH(JulSun1+2)=7),JulSun1+2,""))</f>
        <v/>
      </c>
      <c r="E22" s="28" t="str">
        <f>IF(DAY(JulSun1)=1,"",IF(AND(YEAR(JulSun1+3)=CalendarYear,MONTH(JulSun1+3)=7),JulSun1+3,""))</f>
        <v/>
      </c>
      <c r="F22" s="28" t="str">
        <f>IF(DAY(JulSun1)=1,"",IF(AND(YEAR(JulSun1+4)=CalendarYear,MONTH(JulSun1+4)=7),JulSun1+4,""))</f>
        <v/>
      </c>
      <c r="G22" s="28" t="str">
        <f>IF(DAY(JulSun1)=1,"",IF(AND(YEAR(JulSun1+5)=CalendarYear,MONTH(JulSun1+5)=7),JulSun1+5,""))</f>
        <v/>
      </c>
      <c r="H22" s="28">
        <f>IF(DAY(JulSun1)=1,"",IF(AND(YEAR(JulSun1+6)=CalendarYear,MONTH(JulSun1+6)=7),JulSun1+6,""))</f>
        <v>44743</v>
      </c>
      <c r="I22" s="28">
        <f>IF(DAY(JulSun1)=1,IF(AND(YEAR(JulSun1)=CalendarYear,MONTH(JulSun1)=7),JulSun1,""),IF(AND(YEAR(JulSun1+7)=CalendarYear,MONTH(JulSun1+7)=7),JulSun1+7,""))</f>
        <v>44744</v>
      </c>
      <c r="J22" s="8"/>
      <c r="K22" s="36" t="str">
        <f>IF(DAY(AugSun1)=1,"",IF(AND(YEAR(AugSun1+1)=CalendarYear,MONTH(AugSun1+1)=8),AugSun1+1,""))</f>
        <v/>
      </c>
      <c r="L22" s="28">
        <f>IF(DAY(AugSun1)=1,"",IF(AND(YEAR(AugSun1+2)=CalendarYear,MONTH(AugSun1+2)=8),AugSun1+2,""))</f>
        <v>44774</v>
      </c>
      <c r="M22" s="28">
        <f>IF(DAY(AugSun1)=1,"",IF(AND(YEAR(AugSun1+3)=CalendarYear,MONTH(AugSun1+3)=8),AugSun1+3,""))</f>
        <v>44775</v>
      </c>
      <c r="N22" s="28">
        <f>IF(DAY(AugSun1)=1,"",IF(AND(YEAR(AugSun1+4)=CalendarYear,MONTH(AugSun1+4)=8),AugSun1+4,""))</f>
        <v>44776</v>
      </c>
      <c r="O22" s="28">
        <f>IF(DAY(AugSun1)=1,"",IF(AND(YEAR(AugSun1+5)=CalendarYear,MONTH(AugSun1+5)=8),AugSun1+5,""))</f>
        <v>44777</v>
      </c>
      <c r="P22" s="28">
        <f>IF(DAY(AugSun1)=1,"",IF(AND(YEAR(AugSun1+6)=CalendarYear,MONTH(AugSun1+6)=8),AugSun1+6,""))</f>
        <v>44778</v>
      </c>
      <c r="Q22" s="37">
        <f>IF(DAY(AugSun1)=1,IF(AND(YEAR(AugSun1)=CalendarYear,MONTH(AugSun1)=8),AugSun1,""),IF(AND(YEAR(AugSun1+7)=CalendarYear,MONTH(AugSun1+7)=8),AugSun1+7,""))</f>
        <v>44779</v>
      </c>
      <c r="R22" s="2"/>
      <c r="S22" s="36" t="str">
        <f>IF(DAY(SepSun1)=1,"",IF(AND(YEAR(SepSun1+1)=CalendarYear,MONTH(SepSun1+1)=9),SepSun1+1,""))</f>
        <v/>
      </c>
      <c r="T22" s="28" t="str">
        <f>IF(DAY(SepSun1)=1,"",IF(AND(YEAR(SepSun1+2)=CalendarYear,MONTH(SepSun1+2)=9),SepSun1+2,""))</f>
        <v/>
      </c>
      <c r="U22" s="28" t="str">
        <f>IF(DAY(SepSun1)=1,"",IF(AND(YEAR(SepSun1+3)=CalendarYear,MONTH(SepSun1+3)=9),SepSun1+3,""))</f>
        <v/>
      </c>
      <c r="V22" s="28" t="str">
        <f>IF(DAY(SepSun1)=1,"",IF(AND(YEAR(SepSun1+4)=CalendarYear,MONTH(SepSun1+4)=9),SepSun1+4,""))</f>
        <v/>
      </c>
      <c r="W22" s="28">
        <f>IF(DAY(SepSun1)=1,"",IF(AND(YEAR(SepSun1+5)=CalendarYear,MONTH(SepSun1+5)=9),SepSun1+5,""))</f>
        <v>44805</v>
      </c>
      <c r="X22" s="28">
        <f>IF(DAY(SepSun1)=1,"",IF(AND(YEAR(SepSun1+6)=CalendarYear,MONTH(SepSun1+6)=9),SepSun1+6,""))</f>
        <v>44806</v>
      </c>
      <c r="Y22" s="37">
        <f>IF(DAY(SepSun1)=1,IF(AND(YEAR(SepSun1)=CalendarYear,MONTH(SepSun1)=9),SepSun1,""),IF(AND(YEAR(SepSun1+7)=CalendarYear,MONTH(SepSun1+7)=9),SepSun1+7,""))</f>
        <v>44807</v>
      </c>
      <c r="Z22" s="40"/>
      <c r="AA22" s="36" t="str">
        <f>IF(DAY(OctSun1)=1,"",IF(AND(YEAR(OctSun1+1)=CalendarYear,MONTH(OctSun1+1)=10),OctSun1+1,""))</f>
        <v/>
      </c>
      <c r="AB22" s="28" t="str">
        <f>IF(DAY(OctSun1)=1,"",IF(AND(YEAR(OctSun1+2)=CalendarYear,MONTH(OctSun1+2)=10),OctSun1+2,""))</f>
        <v/>
      </c>
      <c r="AC22" s="28" t="str">
        <f>IF(DAY(OctSun1)=1,"",IF(AND(YEAR(OctSun1+3)=CalendarYear,MONTH(OctSun1+3)=10),OctSun1+3,""))</f>
        <v/>
      </c>
      <c r="AD22" s="28" t="str">
        <f>IF(DAY(OctSun1)=1,"",IF(AND(YEAR(OctSun1+4)=CalendarYear,MONTH(OctSun1+4)=10),OctSun1+4,""))</f>
        <v/>
      </c>
      <c r="AE22" s="28" t="str">
        <f>IF(DAY(OctSun1)=1,"",IF(AND(YEAR(OctSun1+5)=CalendarYear,MONTH(OctSun1+5)=10),OctSun1+5,""))</f>
        <v/>
      </c>
      <c r="AF22" s="28" t="str">
        <f>IF(DAY(OctSun1)=1,"",IF(AND(YEAR(OctSun1+6)=CalendarYear,MONTH(OctSun1+6)=10),OctSun1+6,""))</f>
        <v/>
      </c>
      <c r="AG22" s="37">
        <f>IF(DAY(OctSun1)=1,IF(AND(YEAR(OctSun1)=CalendarYear,MONTH(OctSun1)=10),OctSun1,""),IF(AND(YEAR(OctSun1+7)=CalendarYear,MONTH(OctSun1+7)=10),OctSun1+7,""))</f>
        <v>44835</v>
      </c>
      <c r="AH22" s="2"/>
      <c r="AI22" s="36" t="str">
        <f>IF(DAY(NovSun1)=1,"",IF(AND(YEAR(NovSun1+1)=CalendarYear,MONTH(NovSun1+1)=11),NovSun1+1,""))</f>
        <v/>
      </c>
      <c r="AJ22" s="28" t="str">
        <f>IF(DAY(NovSun1)=1,"",IF(AND(YEAR(NovSun1+2)=CalendarYear,MONTH(NovSun1+2)=11),NovSun1+2,""))</f>
        <v/>
      </c>
      <c r="AK22" s="28">
        <f>IF(DAY(NovSun1)=1,"",IF(AND(YEAR(NovSun1+3)=CalendarYear,MONTH(NovSun1+3)=11),NovSun1+3,""))</f>
        <v>44866</v>
      </c>
      <c r="AL22" s="28">
        <f>IF(DAY(NovSun1)=1,"",IF(AND(YEAR(NovSun1+4)=CalendarYear,MONTH(NovSun1+4)=11),NovSun1+4,""))</f>
        <v>44867</v>
      </c>
      <c r="AM22" s="28">
        <f>IF(DAY(NovSun1)=1,"",IF(AND(YEAR(NovSun1+5)=CalendarYear,MONTH(NovSun1+5)=11),NovSun1+5,""))</f>
        <v>44868</v>
      </c>
      <c r="AN22" s="28">
        <f>IF(DAY(NovSun1)=1,"",IF(AND(YEAR(NovSun1+6)=CalendarYear,MONTH(NovSun1+6)=11),NovSun1+6,""))</f>
        <v>44869</v>
      </c>
      <c r="AO22" s="37">
        <f>IF(DAY(NovSun1)=1,IF(AND(YEAR(NovSun1)=CalendarYear,MONTH(NovSun1)=11),NovSun1,""),IF(AND(YEAR(NovSun1+7)=CalendarYear,MONTH(NovSun1+7)=11),NovSun1+7,""))</f>
        <v>44870</v>
      </c>
      <c r="AP22" s="40"/>
      <c r="AQ22" s="36" t="str">
        <f>IF(DAY(DecSun1)=1,"",IF(AND(YEAR(DecSun1+1)=CalendarYear,MONTH(DecSun1+1)=12),DecSun1+1,""))</f>
        <v/>
      </c>
      <c r="AR22" s="28" t="str">
        <f>IF(DAY(DecSun1)=1,"",IF(AND(YEAR(DecSun1+2)=CalendarYear,MONTH(DecSun1+2)=12),DecSun1+2,""))</f>
        <v/>
      </c>
      <c r="AS22" s="28" t="str">
        <f>IF(DAY(DecSun1)=1,"",IF(AND(YEAR(DecSun1+3)=CalendarYear,MONTH(DecSun1+3)=12),DecSun1+3,""))</f>
        <v/>
      </c>
      <c r="AT22" s="28" t="str">
        <f>IF(DAY(DecSun1)=1,"",IF(AND(YEAR(DecSun1+4)=CalendarYear,MONTH(DecSun1+4)=12),DecSun1+4,""))</f>
        <v/>
      </c>
      <c r="AU22" s="28">
        <f>IF(DAY(DecSun1)=1,"",IF(AND(YEAR(DecSun1+5)=CalendarYear,MONTH(DecSun1+5)=12),DecSun1+5,""))</f>
        <v>44896</v>
      </c>
      <c r="AV22" s="28">
        <f>IF(DAY(DecSun1)=1,"",IF(AND(YEAR(DecSun1+6)=CalendarYear,MONTH(DecSun1+6)=12),DecSun1+6,""))</f>
        <v>44897</v>
      </c>
      <c r="AW22" s="76">
        <f>IF(DAY(DecSun1)=1,IF(AND(YEAR(DecSun1)=CalendarYear,MONTH(DecSun1)=12),DecSun1,""),IF(AND(YEAR(DecSun1+7)=CalendarYear,MONTH(DecSun1+7)=12),DecSun1+7,""))</f>
        <v>44898</v>
      </c>
      <c r="AX22" s="86"/>
      <c r="AY22" s="85"/>
      <c r="AZ22" s="85">
        <f>MAX(November[JUE])</f>
        <v>44889</v>
      </c>
      <c r="BA22" s="2">
        <f t="shared" si="4"/>
        <v>5</v>
      </c>
      <c r="BB22" s="85">
        <f t="shared" si="5"/>
        <v>0</v>
      </c>
      <c r="BC22" s="1" t="s">
        <v>87</v>
      </c>
      <c r="BD22" s="85"/>
      <c r="BE22" s="85"/>
      <c r="BF22" s="2"/>
    </row>
    <row r="23" spans="1:58" ht="15" customHeight="1" thickBot="1" x14ac:dyDescent="0.25">
      <c r="B23" s="2"/>
      <c r="C23" s="72">
        <f>IF(DAY(JulSun1)=1,IF(AND(YEAR(JulSun1+1)=CalendarYear,MONTH(JulSun1+1)=7),JulSun1+1,""),IF(AND(YEAR(JulSun1+8)=CalendarYear,MONTH(JulSun1+8)=7),JulSun1+8,""))</f>
        <v>44745</v>
      </c>
      <c r="D23" s="27">
        <f>IF(DAY(JulSun1)=1,IF(AND(YEAR(JulSun1+2)=CalendarYear,MONTH(JulSun1+2)=7),JulSun1+2,""),IF(AND(YEAR(JulSun1+9)=CalendarYear,MONTH(JulSun1+9)=7),JulSun1+9,""))</f>
        <v>44746</v>
      </c>
      <c r="E23" s="27">
        <f>IF(DAY(JulSun1)=1,IF(AND(YEAR(JulSun1+3)=CalendarYear,MONTH(JulSun1+3)=7),JulSun1+3,""),IF(AND(YEAR(JulSun1+10)=CalendarYear,MONTH(JulSun1+10)=7),JulSun1+10,""))</f>
        <v>44747</v>
      </c>
      <c r="F23" s="27">
        <f>IF(DAY(JulSun1)=1,IF(AND(YEAR(JulSun1+4)=CalendarYear,MONTH(JulSun1+4)=7),JulSun1+4,""),IF(AND(YEAR(JulSun1+11)=CalendarYear,MONTH(JulSun1+11)=7),JulSun1+11,""))</f>
        <v>44748</v>
      </c>
      <c r="G23" s="27">
        <f>IF(DAY(JulSun1)=1,IF(AND(YEAR(JulSun1+5)=CalendarYear,MONTH(JulSun1+5)=7),JulSun1+5,""),IF(AND(YEAR(JulSun1+12)=CalendarYear,MONTH(JulSun1+12)=7),JulSun1+12,""))</f>
        <v>44749</v>
      </c>
      <c r="H23" s="27">
        <f>IF(DAY(JulSun1)=1,IF(AND(YEAR(JulSun1+6)=CalendarYear,MONTH(JulSun1+6)=7),JulSun1+6,""),IF(AND(YEAR(JulSun1+13)=CalendarYear,MONTH(JulSun1+13)=7),JulSun1+13,""))</f>
        <v>44750</v>
      </c>
      <c r="I23" s="27">
        <f>IF(DAY(JulSun1)=1,IF(AND(YEAR(JulSun1+7)=CalendarYear,MONTH(JulSun1+7)=7),JulSun1+7,""),IF(AND(YEAR(JulSun1+14)=CalendarYear,MONTH(JulSun1+14)=7),JulSun1+14,""))</f>
        <v>44751</v>
      </c>
      <c r="J23" s="40"/>
      <c r="K23" s="31">
        <f>IF(DAY(AugSun1)=1,IF(AND(YEAR(AugSun1+1)=CalendarYear,MONTH(AugSun1+1)=8),AugSun1+1,""),IF(AND(YEAR(AugSun1+8)=CalendarYear,MONTH(AugSun1+8)=8),AugSun1+8,""))</f>
        <v>44780</v>
      </c>
      <c r="L23" s="27">
        <f>IF(DAY(AugSun1)=1,IF(AND(YEAR(AugSun1+2)=CalendarYear,MONTH(AugSun1+2)=8),AugSun1+2,""),IF(AND(YEAR(AugSun1+9)=CalendarYear,MONTH(AugSun1+9)=8),AugSun1+9,""))</f>
        <v>44781</v>
      </c>
      <c r="M23" s="27">
        <f>IF(DAY(AugSun1)=1,IF(AND(YEAR(AugSun1+3)=CalendarYear,MONTH(AugSun1+3)=8),AugSun1+3,""),IF(AND(YEAR(AugSun1+10)=CalendarYear,MONTH(AugSun1+10)=8),AugSun1+10,""))</f>
        <v>44782</v>
      </c>
      <c r="N23" s="27">
        <f>IF(DAY(AugSun1)=1,IF(AND(YEAR(AugSun1+4)=CalendarYear,MONTH(AugSun1+4)=8),AugSun1+4,""),IF(AND(YEAR(AugSun1+11)=CalendarYear,MONTH(AugSun1+11)=8),AugSun1+11,""))</f>
        <v>44783</v>
      </c>
      <c r="O23" s="27">
        <f>IF(DAY(AugSun1)=1,IF(AND(YEAR(AugSun1+5)=CalendarYear,MONTH(AugSun1+5)=8),AugSun1+5,""),IF(AND(YEAR(AugSun1+12)=CalendarYear,MONTH(AugSun1+12)=8),AugSun1+12,""))</f>
        <v>44784</v>
      </c>
      <c r="P23" s="27">
        <f>IF(DAY(AugSun1)=1,IF(AND(YEAR(AugSun1+6)=CalendarYear,MONTH(AugSun1+6)=8),AugSun1+6,""),IF(AND(YEAR(AugSun1+13)=CalendarYear,MONTH(AugSun1+13)=8),AugSun1+13,""))</f>
        <v>44785</v>
      </c>
      <c r="Q23" s="32">
        <f>IF(DAY(AugSun1)=1,IF(AND(YEAR(AugSun1+7)=CalendarYear,MONTH(AugSun1+7)=8),AugSun1+7,""),IF(AND(YEAR(AugSun1+14)=CalendarYear,MONTH(AugSun1+14)=8),AugSun1+14,""))</f>
        <v>44786</v>
      </c>
      <c r="R23" s="2"/>
      <c r="S23" s="31">
        <f>IF(DAY(SepSun1)=1,IF(AND(YEAR(SepSun1+1)=CalendarYear,MONTH(SepSun1+1)=9),SepSun1+1,""),IF(AND(YEAR(SepSun1+8)=CalendarYear,MONTH(SepSun1+8)=9),SepSun1+8,""))</f>
        <v>44808</v>
      </c>
      <c r="T23" s="27">
        <f>IF(DAY(SepSun1)=1,IF(AND(YEAR(SepSun1+2)=CalendarYear,MONTH(SepSun1+2)=9),SepSun1+2,""),IF(AND(YEAR(SepSun1+9)=CalendarYear,MONTH(SepSun1+9)=9),SepSun1+9,""))</f>
        <v>44809</v>
      </c>
      <c r="U23" s="27">
        <f>IF(DAY(SepSun1)=1,IF(AND(YEAR(SepSun1+3)=CalendarYear,MONTH(SepSun1+3)=9),SepSun1+3,""),IF(AND(YEAR(SepSun1+10)=CalendarYear,MONTH(SepSun1+10)=9),SepSun1+10,""))</f>
        <v>44810</v>
      </c>
      <c r="V23" s="27">
        <f>IF(DAY(SepSun1)=1,IF(AND(YEAR(SepSun1+4)=CalendarYear,MONTH(SepSun1+4)=9),SepSun1+4,""),IF(AND(YEAR(SepSun1+11)=CalendarYear,MONTH(SepSun1+11)=9),SepSun1+11,""))</f>
        <v>44811</v>
      </c>
      <c r="W23" s="27">
        <f>IF(DAY(SepSun1)=1,IF(AND(YEAR(SepSun1+5)=CalendarYear,MONTH(SepSun1+5)=9),SepSun1+5,""),IF(AND(YEAR(SepSun1+12)=CalendarYear,MONTH(SepSun1+12)=9),SepSun1+12,""))</f>
        <v>44812</v>
      </c>
      <c r="X23" s="27">
        <f>IF(DAY(SepSun1)=1,IF(AND(YEAR(SepSun1+6)=CalendarYear,MONTH(SepSun1+6)=9),SepSun1+6,""),IF(AND(YEAR(SepSun1+13)=CalendarYear,MONTH(SepSun1+13)=9),SepSun1+13,""))</f>
        <v>44813</v>
      </c>
      <c r="Y23" s="32">
        <f>IF(DAY(SepSun1)=1,IF(AND(YEAR(SepSun1+7)=CalendarYear,MONTH(SepSun1+7)=9),SepSun1+7,""),IF(AND(YEAR(SepSun1+14)=CalendarYear,MONTH(SepSun1+14)=9),SepSun1+14,""))</f>
        <v>44814</v>
      </c>
      <c r="Z23" s="40"/>
      <c r="AA23" s="31">
        <f>IF(DAY(OctSun1)=1,IF(AND(YEAR(OctSun1+1)=CalendarYear,MONTH(OctSun1+1)=10),OctSun1+1,""),IF(AND(YEAR(OctSun1+8)=CalendarYear,MONTH(OctSun1+8)=10),OctSun1+8,""))</f>
        <v>44836</v>
      </c>
      <c r="AB23" s="27">
        <f>IF(DAY(OctSun1)=1,IF(AND(YEAR(OctSun1+2)=CalendarYear,MONTH(OctSun1+2)=10),OctSun1+2,""),IF(AND(YEAR(OctSun1+9)=CalendarYear,MONTH(OctSun1+9)=10),OctSun1+9,""))</f>
        <v>44837</v>
      </c>
      <c r="AC23" s="27">
        <f>IF(DAY(OctSun1)=1,IF(AND(YEAR(OctSun1+3)=CalendarYear,MONTH(OctSun1+3)=10),OctSun1+3,""),IF(AND(YEAR(OctSun1+10)=CalendarYear,MONTH(OctSun1+10)=10),OctSun1+10,""))</f>
        <v>44838</v>
      </c>
      <c r="AD23" s="27">
        <f>IF(DAY(OctSun1)=1,IF(AND(YEAR(OctSun1+4)=CalendarYear,MONTH(OctSun1+4)=10),OctSun1+4,""),IF(AND(YEAR(OctSun1+11)=CalendarYear,MONTH(OctSun1+11)=10),OctSun1+11,""))</f>
        <v>44839</v>
      </c>
      <c r="AE23" s="27">
        <f>IF(DAY(OctSun1)=1,IF(AND(YEAR(OctSun1+5)=CalendarYear,MONTH(OctSun1+5)=10),OctSun1+5,""),IF(AND(YEAR(OctSun1+12)=CalendarYear,MONTH(OctSun1+12)=10),OctSun1+12,""))</f>
        <v>44840</v>
      </c>
      <c r="AF23" s="27">
        <f>IF(DAY(OctSun1)=1,IF(AND(YEAR(OctSun1+6)=CalendarYear,MONTH(OctSun1+6)=10),OctSun1+6,""),IF(AND(YEAR(OctSun1+13)=CalendarYear,MONTH(OctSun1+13)=10),OctSun1+13,""))</f>
        <v>44841</v>
      </c>
      <c r="AG23" s="32">
        <f>IF(DAY(OctSun1)=1,IF(AND(YEAR(OctSun1+7)=CalendarYear,MONTH(OctSun1+7)=10),OctSun1+7,""),IF(AND(YEAR(OctSun1+14)=CalendarYear,MONTH(OctSun1+14)=10),OctSun1+14,""))</f>
        <v>44842</v>
      </c>
      <c r="AH23" s="2"/>
      <c r="AI23" s="31">
        <f>IF(DAY(NovSun1)=1,IF(AND(YEAR(NovSun1+1)=CalendarYear,MONTH(NovSun1+1)=11),NovSun1+1,""),IF(AND(YEAR(NovSun1+8)=CalendarYear,MONTH(NovSun1+8)=11),NovSun1+8,""))</f>
        <v>44871</v>
      </c>
      <c r="AJ23" s="27">
        <f>IF(DAY(NovSun1)=1,IF(AND(YEAR(NovSun1+2)=CalendarYear,MONTH(NovSun1+2)=11),NovSun1+2,""),IF(AND(YEAR(NovSun1+9)=CalendarYear,MONTH(NovSun1+9)=11),NovSun1+9,""))</f>
        <v>44872</v>
      </c>
      <c r="AK23" s="27">
        <f>IF(DAY(NovSun1)=1,IF(AND(YEAR(NovSun1+3)=CalendarYear,MONTH(NovSun1+3)=11),NovSun1+3,""),IF(AND(YEAR(NovSun1+10)=CalendarYear,MONTH(NovSun1+10)=11),NovSun1+10,""))</f>
        <v>44873</v>
      </c>
      <c r="AL23" s="27">
        <f>IF(DAY(NovSun1)=1,IF(AND(YEAR(NovSun1+4)=CalendarYear,MONTH(NovSun1+4)=11),NovSun1+4,""),IF(AND(YEAR(NovSun1+11)=CalendarYear,MONTH(NovSun1+11)=11),NovSun1+11,""))</f>
        <v>44874</v>
      </c>
      <c r="AM23" s="27">
        <f>IF(DAY(NovSun1)=1,IF(AND(YEAR(NovSun1+5)=CalendarYear,MONTH(NovSun1+5)=11),NovSun1+5,""),IF(AND(YEAR(NovSun1+12)=CalendarYear,MONTH(NovSun1+12)=11),NovSun1+12,""))</f>
        <v>44875</v>
      </c>
      <c r="AN23" s="27">
        <f>IF(DAY(NovSun1)=1,IF(AND(YEAR(NovSun1+6)=CalendarYear,MONTH(NovSun1+6)=11),NovSun1+6,""),IF(AND(YEAR(NovSun1+13)=CalendarYear,MONTH(NovSun1+13)=11),NovSun1+13,""))</f>
        <v>44876</v>
      </c>
      <c r="AO23" s="32">
        <f>IF(DAY(NovSun1)=1,IF(AND(YEAR(NovSun1+7)=CalendarYear,MONTH(NovSun1+7)=11),NovSun1+7,""),IF(AND(YEAR(NovSun1+14)=CalendarYear,MONTH(NovSun1+14)=11),NovSun1+14,""))</f>
        <v>44877</v>
      </c>
      <c r="AP23" s="40"/>
      <c r="AQ23" s="31">
        <f>IF(DAY(DecSun1)=1,IF(AND(YEAR(DecSun1+1)=CalendarYear,MONTH(DecSun1+1)=12),DecSun1+1,""),IF(AND(YEAR(DecSun1+8)=CalendarYear,MONTH(DecSun1+8)=12),DecSun1+8,""))</f>
        <v>44899</v>
      </c>
      <c r="AR23" s="27">
        <f>IF(DAY(DecSun1)=1,IF(AND(YEAR(DecSun1+2)=CalendarYear,MONTH(DecSun1+2)=12),DecSun1+2,""),IF(AND(YEAR(DecSun1+9)=CalendarYear,MONTH(DecSun1+9)=12),DecSun1+9,""))</f>
        <v>44900</v>
      </c>
      <c r="AS23" s="27">
        <f>IF(DAY(DecSun1)=1,IF(AND(YEAR(DecSun1+3)=CalendarYear,MONTH(DecSun1+3)=12),DecSun1+3,""),IF(AND(YEAR(DecSun1+10)=CalendarYear,MONTH(DecSun1+10)=12),DecSun1+10,""))</f>
        <v>44901</v>
      </c>
      <c r="AT23" s="27">
        <f>IF(DAY(DecSun1)=1,IF(AND(YEAR(DecSun1+4)=CalendarYear,MONTH(DecSun1+4)=12),DecSun1+4,""),IF(AND(YEAR(DecSun1+11)=CalendarYear,MONTH(DecSun1+11)=12),DecSun1+11,""))</f>
        <v>44902</v>
      </c>
      <c r="AU23" s="27">
        <f>IF(DAY(DecSun1)=1,IF(AND(YEAR(DecSun1+5)=CalendarYear,MONTH(DecSun1+5)=12),DecSun1+5,""),IF(AND(YEAR(DecSun1+12)=CalendarYear,MONTH(DecSun1+12)=12),DecSun1+12,""))</f>
        <v>44903</v>
      </c>
      <c r="AV23" s="27">
        <f>IF(DAY(DecSun1)=1,IF(AND(YEAR(DecSun1+6)=CalendarYear,MONTH(DecSun1+6)=12),DecSun1+6,""),IF(AND(YEAR(DecSun1+13)=CalendarYear,MONTH(DecSun1+13)=12),DecSun1+13,""))</f>
        <v>44904</v>
      </c>
      <c r="AW23" s="71">
        <f>IF(DAY(DecSun1)=1,IF(AND(YEAR(DecSun1+7)=CalendarYear,MONTH(DecSun1+7)=12),DecSun1+7,""),IF(AND(YEAR(DecSun1+14)=CalendarYear,MONTH(DecSun1+14)=12),DecSun1+14,""))</f>
        <v>44905</v>
      </c>
      <c r="AX23" s="86"/>
      <c r="AY23" s="85"/>
      <c r="AZ23" s="81">
        <f>DATE(CalendarYear,12,25)</f>
        <v>44920</v>
      </c>
      <c r="BA23" s="2">
        <f t="shared" si="4"/>
        <v>1</v>
      </c>
      <c r="BB23" s="85">
        <f t="shared" si="5"/>
        <v>44921</v>
      </c>
      <c r="BC23" s="85" t="s">
        <v>86</v>
      </c>
      <c r="BE23" s="85"/>
      <c r="BF23" s="2"/>
    </row>
    <row r="24" spans="1:58" ht="15" customHeight="1" x14ac:dyDescent="0.2">
      <c r="B24" s="2"/>
      <c r="C24" s="72">
        <f>IF(DAY(JulSun1)=1,IF(AND(YEAR(JulSun1+8)=CalendarYear,MONTH(JulSun1+8)=7),JulSun1+8,""),IF(AND(YEAR(JulSun1+15)=CalendarYear,MONTH(JulSun1+15)=7),JulSun1+15,""))</f>
        <v>44752</v>
      </c>
      <c r="D24" s="27">
        <f>IF(DAY(JulSun1)=1,IF(AND(YEAR(JulSun1+9)=CalendarYear,MONTH(JulSun1+9)=7),JulSun1+9,""),IF(AND(YEAR(JulSun1+16)=CalendarYear,MONTH(JulSun1+16)=7),JulSun1+16,""))</f>
        <v>44753</v>
      </c>
      <c r="E24" s="27">
        <f>IF(DAY(JulSun1)=1,IF(AND(YEAR(JulSun1+10)=CalendarYear,MONTH(JulSun1+10)=7),JulSun1+10,""),IF(AND(YEAR(JulSun1+17)=CalendarYear,MONTH(JulSun1+17)=7),JulSun1+17,""))</f>
        <v>44754</v>
      </c>
      <c r="F24" s="27">
        <f>IF(DAY(JulSun1)=1,IF(AND(YEAR(JulSun1+11)=CalendarYear,MONTH(JulSun1+11)=7),JulSun1+11,""),IF(AND(YEAR(JulSun1+18)=CalendarYear,MONTH(JulSun1+18)=7),JulSun1+18,""))</f>
        <v>44755</v>
      </c>
      <c r="G24" s="27">
        <f>IF(DAY(JulSun1)=1,IF(AND(YEAR(JulSun1+12)=CalendarYear,MONTH(JulSun1+12)=7),JulSun1+12,""),IF(AND(YEAR(JulSun1+19)=CalendarYear,MONTH(JulSun1+19)=7),JulSun1+19,""))</f>
        <v>44756</v>
      </c>
      <c r="H24" s="27">
        <f>IF(DAY(JulSun1)=1,IF(AND(YEAR(JulSun1+13)=CalendarYear,MONTH(JulSun1+13)=7),JulSun1+13,""),IF(AND(YEAR(JulSun1+20)=CalendarYear,MONTH(JulSun1+20)=7),JulSun1+20,""))</f>
        <v>44757</v>
      </c>
      <c r="I24" s="27">
        <f>IF(DAY(JulSun1)=1,IF(AND(YEAR(JulSun1+14)=CalendarYear,MONTH(JulSun1+14)=7),JulSun1+14,""),IF(AND(YEAR(JulSun1+21)=CalendarYear,MONTH(JulSun1+21)=7),JulSun1+21,""))</f>
        <v>44758</v>
      </c>
      <c r="J24" s="40"/>
      <c r="K24" s="31">
        <f>IF(DAY(AugSun1)=1,IF(AND(YEAR(AugSun1+8)=CalendarYear,MONTH(AugSun1+8)=8),AugSun1+8,""),IF(AND(YEAR(AugSun1+15)=CalendarYear,MONTH(AugSun1+15)=8),AugSun1+15,""))</f>
        <v>44787</v>
      </c>
      <c r="L24" s="27">
        <f>IF(DAY(AugSun1)=1,IF(AND(YEAR(AugSun1+9)=CalendarYear,MONTH(AugSun1+9)=8),AugSun1+9,""),IF(AND(YEAR(AugSun1+16)=CalendarYear,MONTH(AugSun1+16)=8),AugSun1+16,""))</f>
        <v>44788</v>
      </c>
      <c r="M24" s="27">
        <f>IF(DAY(AugSun1)=1,IF(AND(YEAR(AugSun1+10)=CalendarYear,MONTH(AugSun1+10)=8),AugSun1+10,""),IF(AND(YEAR(AugSun1+17)=CalendarYear,MONTH(AugSun1+17)=8),AugSun1+17,""))</f>
        <v>44789</v>
      </c>
      <c r="N24" s="27">
        <f>IF(DAY(AugSun1)=1,IF(AND(YEAR(AugSun1+11)=CalendarYear,MONTH(AugSun1+11)=8),AugSun1+11,""),IF(AND(YEAR(AugSun1+18)=CalendarYear,MONTH(AugSun1+18)=8),AugSun1+18,""))</f>
        <v>44790</v>
      </c>
      <c r="O24" s="27">
        <f>IF(DAY(AugSun1)=1,IF(AND(YEAR(AugSun1+12)=CalendarYear,MONTH(AugSun1+12)=8),AugSun1+12,""),IF(AND(YEAR(AugSun1+19)=CalendarYear,MONTH(AugSun1+19)=8),AugSun1+19,""))</f>
        <v>44791</v>
      </c>
      <c r="P24" s="27">
        <f>IF(DAY(AugSun1)=1,IF(AND(YEAR(AugSun1+13)=CalendarYear,MONTH(AugSun1+13)=8),AugSun1+13,""),IF(AND(YEAR(AugSun1+20)=CalendarYear,MONTH(AugSun1+20)=8),AugSun1+20,""))</f>
        <v>44792</v>
      </c>
      <c r="Q24" s="32">
        <f>IF(DAY(AugSun1)=1,IF(AND(YEAR(AugSun1+14)=CalendarYear,MONTH(AugSun1+14)=8),AugSun1+14,""),IF(AND(YEAR(AugSun1+21)=CalendarYear,MONTH(AugSun1+21)=8),AugSun1+21,""))</f>
        <v>44793</v>
      </c>
      <c r="R24" s="2"/>
      <c r="S24" s="31">
        <f>IF(DAY(SepSun1)=1,IF(AND(YEAR(SepSun1+8)=CalendarYear,MONTH(SepSun1+8)=9),SepSun1+8,""),IF(AND(YEAR(SepSun1+15)=CalendarYear,MONTH(SepSun1+15)=9),SepSun1+15,""))</f>
        <v>44815</v>
      </c>
      <c r="T24" s="27">
        <f>IF(DAY(SepSun1)=1,IF(AND(YEAR(SepSun1+9)=CalendarYear,MONTH(SepSun1+9)=9),SepSun1+9,""),IF(AND(YEAR(SepSun1+16)=CalendarYear,MONTH(SepSun1+16)=9),SepSun1+16,""))</f>
        <v>44816</v>
      </c>
      <c r="U24" s="27">
        <f>IF(DAY(SepSun1)=1,IF(AND(YEAR(SepSun1+10)=CalendarYear,MONTH(SepSun1+10)=9),SepSun1+10,""),IF(AND(YEAR(SepSun1+17)=CalendarYear,MONTH(SepSun1+17)=9),SepSun1+17,""))</f>
        <v>44817</v>
      </c>
      <c r="V24" s="27">
        <f>IF(DAY(SepSun1)=1,IF(AND(YEAR(SepSun1+11)=CalendarYear,MONTH(SepSun1+11)=9),SepSun1+11,""),IF(AND(YEAR(SepSun1+18)=CalendarYear,MONTH(SepSun1+18)=9),SepSun1+18,""))</f>
        <v>44818</v>
      </c>
      <c r="W24" s="27">
        <f>IF(DAY(SepSun1)=1,IF(AND(YEAR(SepSun1+12)=CalendarYear,MONTH(SepSun1+12)=9),SepSun1+12,""),IF(AND(YEAR(SepSun1+19)=CalendarYear,MONTH(SepSun1+19)=9),SepSun1+19,""))</f>
        <v>44819</v>
      </c>
      <c r="X24" s="27">
        <f>IF(DAY(SepSun1)=1,IF(AND(YEAR(SepSun1+13)=CalendarYear,MONTH(SepSun1+13)=9),SepSun1+13,""),IF(AND(YEAR(SepSun1+20)=CalendarYear,MONTH(SepSun1+20)=9),SepSun1+20,""))</f>
        <v>44820</v>
      </c>
      <c r="Y24" s="32">
        <f>IF(DAY(SepSun1)=1,IF(AND(YEAR(SepSun1+14)=CalendarYear,MONTH(SepSun1+14)=9),SepSun1+14,""),IF(AND(YEAR(SepSun1+21)=CalendarYear,MONTH(SepSun1+21)=9),SepSun1+21,""))</f>
        <v>44821</v>
      </c>
      <c r="Z24" s="40"/>
      <c r="AA24" s="31">
        <f>IF(DAY(OctSun1)=1,IF(AND(YEAR(OctSun1+8)=CalendarYear,MONTH(OctSun1+8)=10),OctSun1+8,""),IF(AND(YEAR(OctSun1+15)=CalendarYear,MONTH(OctSun1+15)=10),OctSun1+15,""))</f>
        <v>44843</v>
      </c>
      <c r="AB24" s="27">
        <f>IF(DAY(OctSun1)=1,IF(AND(YEAR(OctSun1+9)=CalendarYear,MONTH(OctSun1+9)=10),OctSun1+9,""),IF(AND(YEAR(OctSun1+16)=CalendarYear,MONTH(OctSun1+16)=10),OctSun1+16,""))</f>
        <v>44844</v>
      </c>
      <c r="AC24" s="27">
        <f>IF(DAY(OctSun1)=1,IF(AND(YEAR(OctSun1+10)=CalendarYear,MONTH(OctSun1+10)=10),OctSun1+10,""),IF(AND(YEAR(OctSun1+17)=CalendarYear,MONTH(OctSun1+17)=10),OctSun1+17,""))</f>
        <v>44845</v>
      </c>
      <c r="AD24" s="27">
        <f>IF(DAY(OctSun1)=1,IF(AND(YEAR(OctSun1+11)=CalendarYear,MONTH(OctSun1+11)=10),OctSun1+11,""),IF(AND(YEAR(OctSun1+18)=CalendarYear,MONTH(OctSun1+18)=10),OctSun1+18,""))</f>
        <v>44846</v>
      </c>
      <c r="AE24" s="27">
        <f>IF(DAY(OctSun1)=1,IF(AND(YEAR(OctSun1+12)=CalendarYear,MONTH(OctSun1+12)=10),OctSun1+12,""),IF(AND(YEAR(OctSun1+19)=CalendarYear,MONTH(OctSun1+19)=10),OctSun1+19,""))</f>
        <v>44847</v>
      </c>
      <c r="AF24" s="27">
        <f>IF(DAY(OctSun1)=1,IF(AND(YEAR(OctSun1+13)=CalendarYear,MONTH(OctSun1+13)=10),OctSun1+13,""),IF(AND(YEAR(OctSun1+20)=CalendarYear,MONTH(OctSun1+20)=10),OctSun1+20,""))</f>
        <v>44848</v>
      </c>
      <c r="AG24" s="32">
        <f>IF(DAY(OctSun1)=1,IF(AND(YEAR(OctSun1+14)=CalendarYear,MONTH(OctSun1+14)=10),OctSun1+14,""),IF(AND(YEAR(OctSun1+21)=CalendarYear,MONTH(OctSun1+21)=10),OctSun1+21,""))</f>
        <v>44849</v>
      </c>
      <c r="AH24" s="2"/>
      <c r="AI24" s="31">
        <f>IF(DAY(NovSun1)=1,IF(AND(YEAR(NovSun1+8)=CalendarYear,MONTH(NovSun1+8)=11),NovSun1+8,""),IF(AND(YEAR(NovSun1+15)=CalendarYear,MONTH(NovSun1+15)=11),NovSun1+15,""))</f>
        <v>44878</v>
      </c>
      <c r="AJ24" s="27">
        <f>IF(DAY(NovSun1)=1,IF(AND(YEAR(NovSun1+9)=CalendarYear,MONTH(NovSun1+9)=11),NovSun1+9,""),IF(AND(YEAR(NovSun1+16)=CalendarYear,MONTH(NovSun1+16)=11),NovSun1+16,""))</f>
        <v>44879</v>
      </c>
      <c r="AK24" s="27">
        <f>IF(DAY(NovSun1)=1,IF(AND(YEAR(NovSun1+10)=CalendarYear,MONTH(NovSun1+10)=11),NovSun1+10,""),IF(AND(YEAR(NovSun1+17)=CalendarYear,MONTH(NovSun1+17)=11),NovSun1+17,""))</f>
        <v>44880</v>
      </c>
      <c r="AL24" s="27">
        <f>IF(DAY(NovSun1)=1,IF(AND(YEAR(NovSun1+11)=CalendarYear,MONTH(NovSun1+11)=11),NovSun1+11,""),IF(AND(YEAR(NovSun1+18)=CalendarYear,MONTH(NovSun1+18)=11),NovSun1+18,""))</f>
        <v>44881</v>
      </c>
      <c r="AM24" s="27">
        <f>IF(DAY(NovSun1)=1,IF(AND(YEAR(NovSun1+12)=CalendarYear,MONTH(NovSun1+12)=11),NovSun1+12,""),IF(AND(YEAR(NovSun1+19)=CalendarYear,MONTH(NovSun1+19)=11),NovSun1+19,""))</f>
        <v>44882</v>
      </c>
      <c r="AN24" s="27">
        <f>IF(DAY(NovSun1)=1,IF(AND(YEAR(NovSun1+13)=CalendarYear,MONTH(NovSun1+13)=11),NovSun1+13,""),IF(AND(YEAR(NovSun1+20)=CalendarYear,MONTH(NovSun1+20)=11),NovSun1+20,""))</f>
        <v>44883</v>
      </c>
      <c r="AO24" s="32">
        <f>IF(DAY(NovSun1)=1,IF(AND(YEAR(NovSun1+14)=CalendarYear,MONTH(NovSun1+14)=11),NovSun1+14,""),IF(AND(YEAR(NovSun1+21)=CalendarYear,MONTH(NovSun1+21)=11),NovSun1+21,""))</f>
        <v>44884</v>
      </c>
      <c r="AP24" s="40"/>
      <c r="AQ24" s="31">
        <f>IF(DAY(DecSun1)=1,IF(AND(YEAR(DecSun1+8)=CalendarYear,MONTH(DecSun1+8)=12),DecSun1+8,""),IF(AND(YEAR(DecSun1+15)=CalendarYear,MONTH(DecSun1+15)=12),DecSun1+15,""))</f>
        <v>44906</v>
      </c>
      <c r="AR24" s="27">
        <f>IF(DAY(DecSun1)=1,IF(AND(YEAR(DecSun1+9)=CalendarYear,MONTH(DecSun1+9)=12),DecSun1+9,""),IF(AND(YEAR(DecSun1+16)=CalendarYear,MONTH(DecSun1+16)=12),DecSun1+16,""))</f>
        <v>44907</v>
      </c>
      <c r="AS24" s="27">
        <f>IF(DAY(DecSun1)=1,IF(AND(YEAR(DecSun1+10)=CalendarYear,MONTH(DecSun1+10)=12),DecSun1+10,""),IF(AND(YEAR(DecSun1+17)=CalendarYear,MONTH(DecSun1+17)=12),DecSun1+17,""))</f>
        <v>44908</v>
      </c>
      <c r="AT24" s="27">
        <f>IF(DAY(DecSun1)=1,IF(AND(YEAR(DecSun1+11)=CalendarYear,MONTH(DecSun1+11)=12),DecSun1+11,""),IF(AND(YEAR(DecSun1+18)=CalendarYear,MONTH(DecSun1+18)=12),DecSun1+18,""))</f>
        <v>44909</v>
      </c>
      <c r="AU24" s="27">
        <f>IF(DAY(DecSun1)=1,IF(AND(YEAR(DecSun1+12)=CalendarYear,MONTH(DecSun1+12)=12),DecSun1+12,""),IF(AND(YEAR(DecSun1+19)=CalendarYear,MONTH(DecSun1+19)=12),DecSun1+19,""))</f>
        <v>44910</v>
      </c>
      <c r="AV24" s="27">
        <f>IF(DAY(DecSun1)=1,IF(AND(YEAR(DecSun1+13)=CalendarYear,MONTH(DecSun1+13)=12),DecSun1+13,""),IF(AND(YEAR(DecSun1+20)=CalendarYear,MONTH(DecSun1+20)=12),DecSun1+20,""))</f>
        <v>44911</v>
      </c>
      <c r="AW24" s="71">
        <f>IF(DAY(DecSun1)=1,IF(AND(YEAR(DecSun1+14)=CalendarYear,MONTH(DecSun1+14)=12),DecSun1+14,""),IF(AND(YEAR(DecSun1+21)=CalendarYear,MONTH(DecSun1+21)=12),DecSun1+21,""))</f>
        <v>44912</v>
      </c>
      <c r="AX24" s="86"/>
      <c r="AY24" s="85"/>
      <c r="AZ24" s="90"/>
      <c r="BA24" s="90"/>
      <c r="BB24" s="90"/>
      <c r="BC24" s="90"/>
      <c r="BE24" s="85"/>
      <c r="BF24" s="2"/>
    </row>
    <row r="25" spans="1:58" ht="15" customHeight="1" x14ac:dyDescent="0.2">
      <c r="B25" s="2"/>
      <c r="C25" s="72">
        <f>IF(DAY(JulSun1)=1,IF(AND(YEAR(JulSun1+15)=CalendarYear,MONTH(JulSun1+15)=7),JulSun1+15,""),IF(AND(YEAR(JulSun1+22)=CalendarYear,MONTH(JulSun1+22)=7),JulSun1+22,""))</f>
        <v>44759</v>
      </c>
      <c r="D25" s="27">
        <f>IF(DAY(JulSun1)=1,IF(AND(YEAR(JulSun1+16)=CalendarYear,MONTH(JulSun1+16)=7),JulSun1+16,""),IF(AND(YEAR(JulSun1+23)=CalendarYear,MONTH(JulSun1+23)=7),JulSun1+23,""))</f>
        <v>44760</v>
      </c>
      <c r="E25" s="27">
        <f>IF(DAY(JulSun1)=1,IF(AND(YEAR(JulSun1+17)=CalendarYear,MONTH(JulSun1+17)=7),JulSun1+17,""),IF(AND(YEAR(JulSun1+24)=CalendarYear,MONTH(JulSun1+24)=7),JulSun1+24,""))</f>
        <v>44761</v>
      </c>
      <c r="F25" s="27">
        <f>IF(DAY(JulSun1)=1,IF(AND(YEAR(JulSun1+18)=CalendarYear,MONTH(JulSun1+18)=7),JulSun1+18,""),IF(AND(YEAR(JulSun1+25)=CalendarYear,MONTH(JulSun1+25)=7),JulSun1+25,""))</f>
        <v>44762</v>
      </c>
      <c r="G25" s="27">
        <f>IF(DAY(JulSun1)=1,IF(AND(YEAR(JulSun1+19)=CalendarYear,MONTH(JulSun1+19)=7),JulSun1+19,""),IF(AND(YEAR(JulSun1+26)=CalendarYear,MONTH(JulSun1+26)=7),JulSun1+26,""))</f>
        <v>44763</v>
      </c>
      <c r="H25" s="27">
        <f>IF(DAY(JulSun1)=1,IF(AND(YEAR(JulSun1+20)=CalendarYear,MONTH(JulSun1+20)=7),JulSun1+20,""),IF(AND(YEAR(JulSun1+27)=CalendarYear,MONTH(JulSun1+27)=7),JulSun1+27,""))</f>
        <v>44764</v>
      </c>
      <c r="I25" s="27">
        <f>IF(DAY(JulSun1)=1,IF(AND(YEAR(JulSun1+21)=CalendarYear,MONTH(JulSun1+21)=7),JulSun1+21,""),IF(AND(YEAR(JulSun1+28)=CalendarYear,MONTH(JulSun1+28)=7),JulSun1+28,""))</f>
        <v>44765</v>
      </c>
      <c r="J25" s="40"/>
      <c r="K25" s="31">
        <f>IF(DAY(AugSun1)=1,IF(AND(YEAR(AugSun1+15)=CalendarYear,MONTH(AugSun1+15)=8),AugSun1+15,""),IF(AND(YEAR(AugSun1+22)=CalendarYear,MONTH(AugSun1+22)=8),AugSun1+22,""))</f>
        <v>44794</v>
      </c>
      <c r="L25" s="27">
        <f>IF(DAY(AugSun1)=1,IF(AND(YEAR(AugSun1+16)=CalendarYear,MONTH(AugSun1+16)=8),AugSun1+16,""),IF(AND(YEAR(AugSun1+23)=CalendarYear,MONTH(AugSun1+23)=8),AugSun1+23,""))</f>
        <v>44795</v>
      </c>
      <c r="M25" s="27">
        <f>IF(DAY(AugSun1)=1,IF(AND(YEAR(AugSun1+17)=CalendarYear,MONTH(AugSun1+17)=8),AugSun1+17,""),IF(AND(YEAR(AugSun1+24)=CalendarYear,MONTH(AugSun1+24)=8),AugSun1+24,""))</f>
        <v>44796</v>
      </c>
      <c r="N25" s="27">
        <f>IF(DAY(AugSun1)=1,IF(AND(YEAR(AugSun1+18)=CalendarYear,MONTH(AugSun1+18)=8),AugSun1+18,""),IF(AND(YEAR(AugSun1+25)=CalendarYear,MONTH(AugSun1+25)=8),AugSun1+25,""))</f>
        <v>44797</v>
      </c>
      <c r="O25" s="27">
        <f>IF(DAY(AugSun1)=1,IF(AND(YEAR(AugSun1+19)=CalendarYear,MONTH(AugSun1+19)=8),AugSun1+19,""),IF(AND(YEAR(AugSun1+26)=CalendarYear,MONTH(AugSun1+26)=8),AugSun1+26,""))</f>
        <v>44798</v>
      </c>
      <c r="P25" s="27">
        <f>IF(DAY(AugSun1)=1,IF(AND(YEAR(AugSun1+20)=CalendarYear,MONTH(AugSun1+20)=8),AugSun1+20,""),IF(AND(YEAR(AugSun1+27)=CalendarYear,MONTH(AugSun1+27)=8),AugSun1+27,""))</f>
        <v>44799</v>
      </c>
      <c r="Q25" s="32">
        <f>IF(DAY(AugSun1)=1,IF(AND(YEAR(AugSun1+21)=CalendarYear,MONTH(AugSun1+21)=8),AugSun1+21,""),IF(AND(YEAR(AugSun1+28)=CalendarYear,MONTH(AugSun1+28)=8),AugSun1+28,""))</f>
        <v>44800</v>
      </c>
      <c r="R25" s="2"/>
      <c r="S25" s="31">
        <f>IF(DAY(SepSun1)=1,IF(AND(YEAR(SepSun1+15)=CalendarYear,MONTH(SepSun1+15)=9),SepSun1+15,""),IF(AND(YEAR(SepSun1+22)=CalendarYear,MONTH(SepSun1+22)=9),SepSun1+22,""))</f>
        <v>44822</v>
      </c>
      <c r="T25" s="27">
        <f>IF(DAY(SepSun1)=1,IF(AND(YEAR(SepSun1+16)=CalendarYear,MONTH(SepSun1+16)=9),SepSun1+16,""),IF(AND(YEAR(SepSun1+23)=CalendarYear,MONTH(SepSun1+23)=9),SepSun1+23,""))</f>
        <v>44823</v>
      </c>
      <c r="U25" s="27">
        <f>IF(DAY(SepSun1)=1,IF(AND(YEAR(SepSun1+17)=CalendarYear,MONTH(SepSun1+17)=9),SepSun1+17,""),IF(AND(YEAR(SepSun1+24)=CalendarYear,MONTH(SepSun1+24)=9),SepSun1+24,""))</f>
        <v>44824</v>
      </c>
      <c r="V25" s="27">
        <f>IF(DAY(SepSun1)=1,IF(AND(YEAR(SepSun1+18)=CalendarYear,MONTH(SepSun1+18)=9),SepSun1+18,""),IF(AND(YEAR(SepSun1+25)=CalendarYear,MONTH(SepSun1+25)=9),SepSun1+25,""))</f>
        <v>44825</v>
      </c>
      <c r="W25" s="27">
        <f>IF(DAY(SepSun1)=1,IF(AND(YEAR(SepSun1+19)=CalendarYear,MONTH(SepSun1+19)=9),SepSun1+19,""),IF(AND(YEAR(SepSun1+26)=CalendarYear,MONTH(SepSun1+26)=9),SepSun1+26,""))</f>
        <v>44826</v>
      </c>
      <c r="X25" s="27">
        <f>IF(DAY(SepSun1)=1,IF(AND(YEAR(SepSun1+20)=CalendarYear,MONTH(SepSun1+20)=9),SepSun1+20,""),IF(AND(YEAR(SepSun1+27)=CalendarYear,MONTH(SepSun1+27)=9),SepSun1+27,""))</f>
        <v>44827</v>
      </c>
      <c r="Y25" s="32">
        <f>IF(DAY(SepSun1)=1,IF(AND(YEAR(SepSun1+21)=CalendarYear,MONTH(SepSun1+21)=9),SepSun1+21,""),IF(AND(YEAR(SepSun1+28)=CalendarYear,MONTH(SepSun1+28)=9),SepSun1+28,""))</f>
        <v>44828</v>
      </c>
      <c r="Z25" s="40"/>
      <c r="AA25" s="31">
        <f>IF(DAY(OctSun1)=1,IF(AND(YEAR(OctSun1+15)=CalendarYear,MONTH(OctSun1+15)=10),OctSun1+15,""),IF(AND(YEAR(OctSun1+22)=CalendarYear,MONTH(OctSun1+22)=10),OctSun1+22,""))</f>
        <v>44850</v>
      </c>
      <c r="AB25" s="27">
        <f>IF(DAY(OctSun1)=1,IF(AND(YEAR(OctSun1+16)=CalendarYear,MONTH(OctSun1+16)=10),OctSun1+16,""),IF(AND(YEAR(OctSun1+23)=CalendarYear,MONTH(OctSun1+23)=10),OctSun1+23,""))</f>
        <v>44851</v>
      </c>
      <c r="AC25" s="27">
        <f>IF(DAY(OctSun1)=1,IF(AND(YEAR(OctSun1+17)=CalendarYear,MONTH(OctSun1+17)=10),OctSun1+17,""),IF(AND(YEAR(OctSun1+24)=CalendarYear,MONTH(OctSun1+24)=10),OctSun1+24,""))</f>
        <v>44852</v>
      </c>
      <c r="AD25" s="27">
        <f>IF(DAY(OctSun1)=1,IF(AND(YEAR(OctSun1+18)=CalendarYear,MONTH(OctSun1+18)=10),OctSun1+18,""),IF(AND(YEAR(OctSun1+25)=CalendarYear,MONTH(OctSun1+25)=10),OctSun1+25,""))</f>
        <v>44853</v>
      </c>
      <c r="AE25" s="27">
        <f>IF(DAY(OctSun1)=1,IF(AND(YEAR(OctSun1+19)=CalendarYear,MONTH(OctSun1+19)=10),OctSun1+19,""),IF(AND(YEAR(OctSun1+26)=CalendarYear,MONTH(OctSun1+26)=10),OctSun1+26,""))</f>
        <v>44854</v>
      </c>
      <c r="AF25" s="27">
        <f>IF(DAY(OctSun1)=1,IF(AND(YEAR(OctSun1+20)=CalendarYear,MONTH(OctSun1+20)=10),OctSun1+20,""),IF(AND(YEAR(OctSun1+27)=CalendarYear,MONTH(OctSun1+27)=10),OctSun1+27,""))</f>
        <v>44855</v>
      </c>
      <c r="AG25" s="32">
        <f>IF(DAY(OctSun1)=1,IF(AND(YEAR(OctSun1+21)=CalendarYear,MONTH(OctSun1+21)=10),OctSun1+21,""),IF(AND(YEAR(OctSun1+28)=CalendarYear,MONTH(OctSun1+28)=10),OctSun1+28,""))</f>
        <v>44856</v>
      </c>
      <c r="AH25" s="2"/>
      <c r="AI25" s="31">
        <f>IF(DAY(NovSun1)=1,IF(AND(YEAR(NovSun1+15)=CalendarYear,MONTH(NovSun1+15)=11),NovSun1+15,""),IF(AND(YEAR(NovSun1+22)=CalendarYear,MONTH(NovSun1+22)=11),NovSun1+22,""))</f>
        <v>44885</v>
      </c>
      <c r="AJ25" s="27">
        <f>IF(DAY(NovSun1)=1,IF(AND(YEAR(NovSun1+16)=CalendarYear,MONTH(NovSun1+16)=11),NovSun1+16,""),IF(AND(YEAR(NovSun1+23)=CalendarYear,MONTH(NovSun1+23)=11),NovSun1+23,""))</f>
        <v>44886</v>
      </c>
      <c r="AK25" s="27">
        <f>IF(DAY(NovSun1)=1,IF(AND(YEAR(NovSun1+17)=CalendarYear,MONTH(NovSun1+17)=11),NovSun1+17,""),IF(AND(YEAR(NovSun1+24)=CalendarYear,MONTH(NovSun1+24)=11),NovSun1+24,""))</f>
        <v>44887</v>
      </c>
      <c r="AL25" s="27">
        <f>IF(DAY(NovSun1)=1,IF(AND(YEAR(NovSun1+18)=CalendarYear,MONTH(NovSun1+18)=11),NovSun1+18,""),IF(AND(YEAR(NovSun1+25)=CalendarYear,MONTH(NovSun1+25)=11),NovSun1+25,""))</f>
        <v>44888</v>
      </c>
      <c r="AM25" s="27">
        <f>IF(DAY(NovSun1)=1,IF(AND(YEAR(NovSun1+19)=CalendarYear,MONTH(NovSun1+19)=11),NovSun1+19,""),IF(AND(YEAR(NovSun1+26)=CalendarYear,MONTH(NovSun1+26)=11),NovSun1+26,""))</f>
        <v>44889</v>
      </c>
      <c r="AN25" s="27">
        <f>IF(DAY(NovSun1)=1,IF(AND(YEAR(NovSun1+20)=CalendarYear,MONTH(NovSun1+20)=11),NovSun1+20,""),IF(AND(YEAR(NovSun1+27)=CalendarYear,MONTH(NovSun1+27)=11),NovSun1+27,""))</f>
        <v>44890</v>
      </c>
      <c r="AO25" s="32">
        <f>IF(DAY(NovSun1)=1,IF(AND(YEAR(NovSun1+21)=CalendarYear,MONTH(NovSun1+21)=11),NovSun1+21,""),IF(AND(YEAR(NovSun1+28)=CalendarYear,MONTH(NovSun1+28)=11),NovSun1+28,""))</f>
        <v>44891</v>
      </c>
      <c r="AP25" s="40"/>
      <c r="AQ25" s="31">
        <f>IF(DAY(DecSun1)=1,IF(AND(YEAR(DecSun1+15)=CalendarYear,MONTH(DecSun1+15)=12),DecSun1+15,""),IF(AND(YEAR(DecSun1+22)=CalendarYear,MONTH(DecSun1+22)=12),DecSun1+22,""))</f>
        <v>44913</v>
      </c>
      <c r="AR25" s="27">
        <f>IF(DAY(DecSun1)=1,IF(AND(YEAR(DecSun1+16)=CalendarYear,MONTH(DecSun1+16)=12),DecSun1+16,""),IF(AND(YEAR(DecSun1+23)=CalendarYear,MONTH(DecSun1+23)=12),DecSun1+23,""))</f>
        <v>44914</v>
      </c>
      <c r="AS25" s="27">
        <f>IF(DAY(DecSun1)=1,IF(AND(YEAR(DecSun1+17)=CalendarYear,MONTH(DecSun1+17)=12),DecSun1+17,""),IF(AND(YEAR(DecSun1+24)=CalendarYear,MONTH(DecSun1+24)=12),DecSun1+24,""))</f>
        <v>44915</v>
      </c>
      <c r="AT25" s="27">
        <f>IF(DAY(DecSun1)=1,IF(AND(YEAR(DecSun1+18)=CalendarYear,MONTH(DecSun1+18)=12),DecSun1+18,""),IF(AND(YEAR(DecSun1+25)=CalendarYear,MONTH(DecSun1+25)=12),DecSun1+25,""))</f>
        <v>44916</v>
      </c>
      <c r="AU25" s="27">
        <f>IF(DAY(DecSun1)=1,IF(AND(YEAR(DecSun1+19)=CalendarYear,MONTH(DecSun1+19)=12),DecSun1+19,""),IF(AND(YEAR(DecSun1+26)=CalendarYear,MONTH(DecSun1+26)=12),DecSun1+26,""))</f>
        <v>44917</v>
      </c>
      <c r="AV25" s="27">
        <f>IF(DAY(DecSun1)=1,IF(AND(YEAR(DecSun1+20)=CalendarYear,MONTH(DecSun1+20)=12),DecSun1+20,""),IF(AND(YEAR(DecSun1+27)=CalendarYear,MONTH(DecSun1+27)=12),DecSun1+27,""))</f>
        <v>44918</v>
      </c>
      <c r="AW25" s="71">
        <f>IF(DAY(DecSun1)=1,IF(AND(YEAR(DecSun1+21)=CalendarYear,MONTH(DecSun1+21)=12),DecSun1+21,""),IF(AND(YEAR(DecSun1+28)=CalendarYear,MONTH(DecSun1+28)=12),DecSun1+28,""))</f>
        <v>44919</v>
      </c>
      <c r="AX25" s="86"/>
      <c r="AY25" s="85"/>
      <c r="BE25" s="85"/>
      <c r="BF25" s="2"/>
    </row>
    <row r="26" spans="1:58" ht="15" customHeight="1" thickBot="1" x14ac:dyDescent="0.25">
      <c r="B26" s="2"/>
      <c r="C26" s="72">
        <f>IF(DAY(JulSun1)=1,IF(AND(YEAR(JulSun1+22)=CalendarYear,MONTH(JulSun1+22)=7),JulSun1+22,""),IF(AND(YEAR(JulSun1+29)=CalendarYear,MONTH(JulSun1+29)=7),JulSun1+29,""))</f>
        <v>44766</v>
      </c>
      <c r="D26" s="27">
        <f>IF(DAY(JulSun1)=1,IF(AND(YEAR(JulSun1+23)=CalendarYear,MONTH(JulSun1+23)=7),JulSun1+23,""),IF(AND(YEAR(JulSun1+30)=CalendarYear,MONTH(JulSun1+30)=7),JulSun1+30,""))</f>
        <v>44767</v>
      </c>
      <c r="E26" s="27">
        <f>IF(DAY(JulSun1)=1,IF(AND(YEAR(JulSun1+24)=CalendarYear,MONTH(JulSun1+24)=7),JulSun1+24,""),IF(AND(YEAR(JulSun1+31)=CalendarYear,MONTH(JulSun1+31)=7),JulSun1+31,""))</f>
        <v>44768</v>
      </c>
      <c r="F26" s="27">
        <f>IF(DAY(JulSun1)=1,IF(AND(YEAR(JulSun1+25)=CalendarYear,MONTH(JulSun1+25)=7),JulSun1+25,""),IF(AND(YEAR(JulSun1+32)=CalendarYear,MONTH(JulSun1+32)=7),JulSun1+32,""))</f>
        <v>44769</v>
      </c>
      <c r="G26" s="27">
        <f>IF(DAY(JulSun1)=1,IF(AND(YEAR(JulSun1+26)=CalendarYear,MONTH(JulSun1+26)=7),JulSun1+26,""),IF(AND(YEAR(JulSun1+33)=CalendarYear,MONTH(JulSun1+33)=7),JulSun1+33,""))</f>
        <v>44770</v>
      </c>
      <c r="H26" s="27">
        <f>IF(DAY(JulSun1)=1,IF(AND(YEAR(JulSun1+27)=CalendarYear,MONTH(JulSun1+27)=7),JulSun1+27,""),IF(AND(YEAR(JulSun1+34)=CalendarYear,MONTH(JulSun1+34)=7),JulSun1+34,""))</f>
        <v>44771</v>
      </c>
      <c r="I26" s="27">
        <f>IF(DAY(JulSun1)=1,IF(AND(YEAR(JulSun1+28)=CalendarYear,MONTH(JulSun1+28)=7),JulSun1+28,""),IF(AND(YEAR(JulSun1+35)=CalendarYear,MONTH(JulSun1+35)=7),JulSun1+35,""))</f>
        <v>44772</v>
      </c>
      <c r="J26" s="40"/>
      <c r="K26" s="31">
        <f>IF(DAY(AugSun1)=1,IF(AND(YEAR(AugSun1+22)=CalendarYear,MONTH(AugSun1+22)=8),AugSun1+22,""),IF(AND(YEAR(AugSun1+29)=CalendarYear,MONTH(AugSun1+29)=8),AugSun1+29,""))</f>
        <v>44801</v>
      </c>
      <c r="L26" s="27">
        <f>IF(DAY(AugSun1)=1,IF(AND(YEAR(AugSun1+23)=CalendarYear,MONTH(AugSun1+23)=8),AugSun1+23,""),IF(AND(YEAR(AugSun1+30)=CalendarYear,MONTH(AugSun1+30)=8),AugSun1+30,""))</f>
        <v>44802</v>
      </c>
      <c r="M26" s="27">
        <f>IF(DAY(AugSun1)=1,IF(AND(YEAR(AugSun1+24)=CalendarYear,MONTH(AugSun1+24)=8),AugSun1+24,""),IF(AND(YEAR(AugSun1+31)=CalendarYear,MONTH(AugSun1+31)=8),AugSun1+31,""))</f>
        <v>44803</v>
      </c>
      <c r="N26" s="27">
        <f>IF(DAY(AugSun1)=1,IF(AND(YEAR(AugSun1+25)=CalendarYear,MONTH(AugSun1+25)=8),AugSun1+25,""),IF(AND(YEAR(AugSun1+32)=CalendarYear,MONTH(AugSun1+32)=8),AugSun1+32,""))</f>
        <v>44804</v>
      </c>
      <c r="O26" s="27" t="str">
        <f>IF(DAY(AugSun1)=1,IF(AND(YEAR(AugSun1+26)=CalendarYear,MONTH(AugSun1+26)=8),AugSun1+26,""),IF(AND(YEAR(AugSun1+33)=CalendarYear,MONTH(AugSun1+33)=8),AugSun1+33,""))</f>
        <v/>
      </c>
      <c r="P26" s="27" t="str">
        <f>IF(DAY(AugSun1)=1,IF(AND(YEAR(AugSun1+27)=CalendarYear,MONTH(AugSun1+27)=8),AugSun1+27,""),IF(AND(YEAR(AugSun1+34)=CalendarYear,MONTH(AugSun1+34)=8),AugSun1+34,""))</f>
        <v/>
      </c>
      <c r="Q26" s="32" t="str">
        <f>IF(DAY(AugSun1)=1,IF(AND(YEAR(AugSun1+28)=CalendarYear,MONTH(AugSun1+28)=8),AugSun1+28,""),IF(AND(YEAR(AugSun1+35)=CalendarYear,MONTH(AugSun1+35)=8),AugSun1+35,""))</f>
        <v/>
      </c>
      <c r="R26" s="2"/>
      <c r="S26" s="31">
        <f>IF(DAY(SepSun1)=1,IF(AND(YEAR(SepSun1+22)=CalendarYear,MONTH(SepSun1+22)=9),SepSun1+22,""),IF(AND(YEAR(SepSun1+29)=CalendarYear,MONTH(SepSun1+29)=9),SepSun1+29,""))</f>
        <v>44829</v>
      </c>
      <c r="T26" s="27">
        <f>IF(DAY(SepSun1)=1,IF(AND(YEAR(SepSun1+23)=CalendarYear,MONTH(SepSun1+23)=9),SepSun1+23,""),IF(AND(YEAR(SepSun1+30)=CalendarYear,MONTH(SepSun1+30)=9),SepSun1+30,""))</f>
        <v>44830</v>
      </c>
      <c r="U26" s="27">
        <f>IF(DAY(SepSun1)=1,IF(AND(YEAR(SepSun1+24)=CalendarYear,MONTH(SepSun1+24)=9),SepSun1+24,""),IF(AND(YEAR(SepSun1+31)=CalendarYear,MONTH(SepSun1+31)=9),SepSun1+31,""))</f>
        <v>44831</v>
      </c>
      <c r="V26" s="27">
        <f>IF(DAY(SepSun1)=1,IF(AND(YEAR(SepSun1+25)=CalendarYear,MONTH(SepSun1+25)=9),SepSun1+25,""),IF(AND(YEAR(SepSun1+32)=CalendarYear,MONTH(SepSun1+32)=9),SepSun1+32,""))</f>
        <v>44832</v>
      </c>
      <c r="W26" s="27">
        <f>IF(DAY(SepSun1)=1,IF(AND(YEAR(SepSun1+26)=CalendarYear,MONTH(SepSun1+26)=9),SepSun1+26,""),IF(AND(YEAR(SepSun1+33)=CalendarYear,MONTH(SepSun1+33)=9),SepSun1+33,""))</f>
        <v>44833</v>
      </c>
      <c r="X26" s="27">
        <f>IF(DAY(SepSun1)=1,IF(AND(YEAR(SepSun1+27)=CalendarYear,MONTH(SepSun1+27)=9),SepSun1+27,""),IF(AND(YEAR(SepSun1+34)=CalendarYear,MONTH(SepSun1+34)=9),SepSun1+34,""))</f>
        <v>44834</v>
      </c>
      <c r="Y26" s="32" t="str">
        <f>IF(DAY(SepSun1)=1,IF(AND(YEAR(SepSun1+28)=CalendarYear,MONTH(SepSun1+28)=9),SepSun1+28,""),IF(AND(YEAR(SepSun1+35)=CalendarYear,MONTH(SepSun1+35)=9),SepSun1+35,""))</f>
        <v/>
      </c>
      <c r="Z26" s="40"/>
      <c r="AA26" s="31">
        <f>IF(DAY(OctSun1)=1,IF(AND(YEAR(OctSun1+22)=CalendarYear,MONTH(OctSun1+22)=10),OctSun1+22,""),IF(AND(YEAR(OctSun1+29)=CalendarYear,MONTH(OctSun1+29)=10),OctSun1+29,""))</f>
        <v>44857</v>
      </c>
      <c r="AB26" s="27">
        <f>IF(DAY(OctSun1)=1,IF(AND(YEAR(OctSun1+23)=CalendarYear,MONTH(OctSun1+23)=10),OctSun1+23,""),IF(AND(YEAR(OctSun1+30)=CalendarYear,MONTH(OctSun1+30)=10),OctSun1+30,""))</f>
        <v>44858</v>
      </c>
      <c r="AC26" s="27">
        <f>IF(DAY(OctSun1)=1,IF(AND(YEAR(OctSun1+24)=CalendarYear,MONTH(OctSun1+24)=10),OctSun1+24,""),IF(AND(YEAR(OctSun1+31)=CalendarYear,MONTH(OctSun1+31)=10),OctSun1+31,""))</f>
        <v>44859</v>
      </c>
      <c r="AD26" s="27">
        <f>IF(DAY(OctSun1)=1,IF(AND(YEAR(OctSun1+25)=CalendarYear,MONTH(OctSun1+25)=10),OctSun1+25,""),IF(AND(YEAR(OctSun1+32)=CalendarYear,MONTH(OctSun1+32)=10),OctSun1+32,""))</f>
        <v>44860</v>
      </c>
      <c r="AE26" s="27">
        <f>IF(DAY(OctSun1)=1,IF(AND(YEAR(OctSun1+26)=CalendarYear,MONTH(OctSun1+26)=10),OctSun1+26,""),IF(AND(YEAR(OctSun1+33)=CalendarYear,MONTH(OctSun1+33)=10),OctSun1+33,""))</f>
        <v>44861</v>
      </c>
      <c r="AF26" s="27">
        <f>IF(DAY(OctSun1)=1,IF(AND(YEAR(OctSun1+27)=CalendarYear,MONTH(OctSun1+27)=10),OctSun1+27,""),IF(AND(YEAR(OctSun1+34)=CalendarYear,MONTH(OctSun1+34)=10),OctSun1+34,""))</f>
        <v>44862</v>
      </c>
      <c r="AG26" s="32">
        <f>IF(DAY(OctSun1)=1,IF(AND(YEAR(OctSun1+28)=CalendarYear,MONTH(OctSun1+28)=10),OctSun1+28,""),IF(AND(YEAR(OctSun1+35)=CalendarYear,MONTH(OctSun1+35)=10),OctSun1+35,""))</f>
        <v>44863</v>
      </c>
      <c r="AH26" s="2"/>
      <c r="AI26" s="31">
        <f>IF(DAY(NovSun1)=1,IF(AND(YEAR(NovSun1+22)=CalendarYear,MONTH(NovSun1+22)=11),NovSun1+22,""),IF(AND(YEAR(NovSun1+29)=CalendarYear,MONTH(NovSun1+29)=11),NovSun1+29,""))</f>
        <v>44892</v>
      </c>
      <c r="AJ26" s="27">
        <f>IF(DAY(NovSun1)=1,IF(AND(YEAR(NovSun1+23)=CalendarYear,MONTH(NovSun1+23)=11),NovSun1+23,""),IF(AND(YEAR(NovSun1+30)=CalendarYear,MONTH(NovSun1+30)=11),NovSun1+30,""))</f>
        <v>44893</v>
      </c>
      <c r="AK26" s="27">
        <f>IF(DAY(NovSun1)=1,IF(AND(YEAR(NovSun1+24)=CalendarYear,MONTH(NovSun1+24)=11),NovSun1+24,""),IF(AND(YEAR(NovSun1+31)=CalendarYear,MONTH(NovSun1+31)=11),NovSun1+31,""))</f>
        <v>44894</v>
      </c>
      <c r="AL26" s="27">
        <f>IF(DAY(NovSun1)=1,IF(AND(YEAR(NovSun1+25)=CalendarYear,MONTH(NovSun1+25)=11),NovSun1+25,""),IF(AND(YEAR(NovSun1+32)=CalendarYear,MONTH(NovSun1+32)=11),NovSun1+32,""))</f>
        <v>44895</v>
      </c>
      <c r="AM26" s="27" t="str">
        <f>IF(DAY(NovSun1)=1,IF(AND(YEAR(NovSun1+26)=CalendarYear,MONTH(NovSun1+26)=11),NovSun1+26,""),IF(AND(YEAR(NovSun1+33)=CalendarYear,MONTH(NovSun1+33)=11),NovSun1+33,""))</f>
        <v/>
      </c>
      <c r="AN26" s="27" t="str">
        <f>IF(DAY(NovSun1)=1,IF(AND(YEAR(NovSun1+27)=CalendarYear,MONTH(NovSun1+27)=11),NovSun1+27,""),IF(AND(YEAR(NovSun1+34)=CalendarYear,MONTH(NovSun1+34)=11),NovSun1+34,""))</f>
        <v/>
      </c>
      <c r="AO26" s="32" t="str">
        <f>IF(DAY(NovSun1)=1,IF(AND(YEAR(NovSun1+28)=CalendarYear,MONTH(NovSun1+28)=11),NovSun1+28,""),IF(AND(YEAR(NovSun1+35)=CalendarYear,MONTH(NovSun1+35)=11),NovSun1+35,""))</f>
        <v/>
      </c>
      <c r="AP26" s="40"/>
      <c r="AQ26" s="31">
        <f>IF(DAY(DecSun1)=1,IF(AND(YEAR(DecSun1+22)=CalendarYear,MONTH(DecSun1+22)=12),DecSun1+22,""),IF(AND(YEAR(DecSun1+29)=CalendarYear,MONTH(DecSun1+29)=12),DecSun1+29,""))</f>
        <v>44920</v>
      </c>
      <c r="AR26" s="27">
        <f>IF(DAY(DecSun1)=1,IF(AND(YEAR(DecSun1+23)=CalendarYear,MONTH(DecSun1+23)=12),DecSun1+23,""),IF(AND(YEAR(DecSun1+30)=CalendarYear,MONTH(DecSun1+30)=12),DecSun1+30,""))</f>
        <v>44921</v>
      </c>
      <c r="AS26" s="27">
        <f>IF(DAY(DecSun1)=1,IF(AND(YEAR(DecSun1+24)=CalendarYear,MONTH(DecSun1+24)=12),DecSun1+24,""),IF(AND(YEAR(DecSun1+31)=CalendarYear,MONTH(DecSun1+31)=12),DecSun1+31,""))</f>
        <v>44922</v>
      </c>
      <c r="AT26" s="27">
        <f>IF(DAY(DecSun1)=1,IF(AND(YEAR(DecSun1+25)=CalendarYear,MONTH(DecSun1+25)=12),DecSun1+25,""),IF(AND(YEAR(DecSun1+32)=CalendarYear,MONTH(DecSun1+32)=12),DecSun1+32,""))</f>
        <v>44923</v>
      </c>
      <c r="AU26" s="27">
        <f>IF(DAY(DecSun1)=1,IF(AND(YEAR(DecSun1+26)=CalendarYear,MONTH(DecSun1+26)=12),DecSun1+26,""),IF(AND(YEAR(DecSun1+33)=CalendarYear,MONTH(DecSun1+33)=12),DecSun1+33,""))</f>
        <v>44924</v>
      </c>
      <c r="AV26" s="27">
        <f>IF(DAY(DecSun1)=1,IF(AND(YEAR(DecSun1+27)=CalendarYear,MONTH(DecSun1+27)=12),DecSun1+27,""),IF(AND(YEAR(DecSun1+34)=CalendarYear,MONTH(DecSun1+34)=12),DecSun1+34,""))</f>
        <v>44925</v>
      </c>
      <c r="AW26" s="71">
        <f>IF(DAY(DecSun1)=1,IF(AND(YEAR(DecSun1+28)=CalendarYear,MONTH(DecSun1+28)=12),DecSun1+28,""),IF(AND(YEAR(DecSun1+35)=CalendarYear,MONTH(DecSun1+35)=12),DecSun1+35,""))</f>
        <v>44926</v>
      </c>
      <c r="AX26" s="86"/>
      <c r="AY26" s="85"/>
      <c r="BE26" s="85"/>
      <c r="BF26" s="2"/>
    </row>
    <row r="27" spans="1:58" ht="15" customHeight="1" thickBot="1" x14ac:dyDescent="0.25">
      <c r="B27" s="2"/>
      <c r="C27" s="72">
        <f>IF(DAY(JulSun1)=1,IF(AND(YEAR(JulSun1+29)=CalendarYear,MONTH(JulSun1+29)=7),JulSun1+29,""),IF(AND(YEAR(JulSun1+36)=CalendarYear,MONTH(JulSun1+36)=7),JulSun1+36,""))</f>
        <v>44773</v>
      </c>
      <c r="D27" s="27" t="str">
        <f>IF(DAY(JulSun1)=1,IF(AND(YEAR(JulSun1+30)=CalendarYear,MONTH(JulSun1+30)=7),JulSun1+30,""),IF(AND(YEAR(JulSun1+37)=CalendarYear,MONTH(JulSun1+37)=7),JulSun1+37,""))</f>
        <v/>
      </c>
      <c r="E27" s="27" t="str">
        <f>IF(DAY(JulSun1)=1,IF(AND(YEAR(JulSun1+31)=CalendarYear,MONTH(JulSun1+31)=7),JulSun1+31,""),IF(AND(YEAR(JulSun1+38)=CalendarYear,MONTH(JulSun1+38)=7),JulSun1+38,""))</f>
        <v/>
      </c>
      <c r="F27" s="27" t="str">
        <f>IF(DAY(JulSun1)=1,IF(AND(YEAR(JulSun1+32)=CalendarYear,MONTH(JulSun1+32)=7),JulSun1+32,""),IF(AND(YEAR(JulSun1+39)=CalendarYear,MONTH(JulSun1+39)=7),JulSun1+39,""))</f>
        <v/>
      </c>
      <c r="G27" s="27" t="str">
        <f>IF(DAY(JulSun1)=1,IF(AND(YEAR(JulSun1+33)=CalendarYear,MONTH(JulSun1+33)=7),JulSun1+33,""),IF(AND(YEAR(JulSun1+40)=CalendarYear,MONTH(JulSun1+40)=7),JulSun1+40,""))</f>
        <v/>
      </c>
      <c r="H27" s="27" t="str">
        <f>IF(DAY(JulSun1)=1,IF(AND(YEAR(JulSun1+34)=CalendarYear,MONTH(JulSun1+34)=7),JulSun1+34,""),IF(AND(YEAR(JulSun1+41)=CalendarYear,MONTH(JulSun1+41)=7),JulSun1+41,""))</f>
        <v/>
      </c>
      <c r="I27" s="27" t="str">
        <f>IF(DAY(JulSun1)=1,IF(AND(YEAR(JulSun1+35)=CalendarYear,MONTH(JulSun1+35)=7),JulSun1+35,""),IF(AND(YEAR(JulSun1+42)=CalendarYear,MONTH(JulSun1+42)=7),JulSun1+42,""))</f>
        <v/>
      </c>
      <c r="J27" s="40"/>
      <c r="K27" s="33" t="str">
        <f>IF(DAY(AugSun1)=1,IF(AND(YEAR(AugSun1+29)=CalendarYear,MONTH(AugSun1+29)=8),AugSun1+29,""),IF(AND(YEAR(AugSun1+36)=CalendarYear,MONTH(AugSun1+36)=8),AugSun1+36,""))</f>
        <v/>
      </c>
      <c r="L27" s="34" t="str">
        <f>IF(DAY(AugSun1)=1,IF(AND(YEAR(AugSun1+30)=CalendarYear,MONTH(AugSun1+30)=8),AugSun1+30,""),IF(AND(YEAR(AugSun1+37)=CalendarYear,MONTH(AugSun1+37)=8),AugSun1+37,""))</f>
        <v/>
      </c>
      <c r="M27" s="34" t="str">
        <f>IF(DAY(AugSun1)=1,IF(AND(YEAR(AugSun1+31)=CalendarYear,MONTH(AugSun1+31)=8),AugSun1+31,""),IF(AND(YEAR(AugSun1+38)=CalendarYear,MONTH(AugSun1+38)=8),AugSun1+38,""))</f>
        <v/>
      </c>
      <c r="N27" s="34" t="str">
        <f>IF(DAY(AugSun1)=1,IF(AND(YEAR(AugSun1+32)=CalendarYear,MONTH(AugSun1+32)=8),AugSun1+32,""),IF(AND(YEAR(AugSun1+39)=CalendarYear,MONTH(AugSun1+39)=8),AugSun1+39,""))</f>
        <v/>
      </c>
      <c r="O27" s="34" t="str">
        <f>IF(DAY(AugSun1)=1,IF(AND(YEAR(AugSun1+33)=CalendarYear,MONTH(AugSun1+33)=8),AugSun1+33,""),IF(AND(YEAR(AugSun1+40)=CalendarYear,MONTH(AugSun1+40)=8),AugSun1+40,""))</f>
        <v/>
      </c>
      <c r="P27" s="34" t="str">
        <f>IF(DAY(AugSun1)=1,IF(AND(YEAR(AugSun1+34)=CalendarYear,MONTH(AugSun1+34)=8),AugSun1+34,""),IF(AND(YEAR(AugSun1+41)=CalendarYear,MONTH(AugSun1+41)=8),AugSun1+41,""))</f>
        <v/>
      </c>
      <c r="Q27" s="35" t="str">
        <f>IF(DAY(AugSun1)=1,IF(AND(YEAR(AugSun1+35)=CalendarYear,MONTH(AugSun1+35)=8),AugSun1+35,""),IF(AND(YEAR(AugSun1+42)=CalendarYear,MONTH(AugSun1+42)=8),AugSun1+42,""))</f>
        <v/>
      </c>
      <c r="R27" s="2"/>
      <c r="S27" s="33" t="str">
        <f>IF(DAY(SepSun1)=1,IF(AND(YEAR(SepSun1+29)=CalendarYear,MONTH(SepSun1+29)=9),SepSun1+29,""),IF(AND(YEAR(SepSun1+36)=CalendarYear,MONTH(SepSun1+36)=9),SepSun1+36,""))</f>
        <v/>
      </c>
      <c r="T27" s="34" t="str">
        <f>IF(DAY(SepSun1)=1,IF(AND(YEAR(SepSun1+30)=CalendarYear,MONTH(SepSun1+30)=9),SepSun1+30,""),IF(AND(YEAR(SepSun1+37)=CalendarYear,MONTH(SepSun1+37)=9),SepSun1+37,""))</f>
        <v/>
      </c>
      <c r="U27" s="34" t="str">
        <f>IF(DAY(SepSun1)=1,IF(AND(YEAR(SepSun1+31)=CalendarYear,MONTH(SepSun1+31)=9),SepSun1+31,""),IF(AND(YEAR(SepSun1+38)=CalendarYear,MONTH(SepSun1+38)=9),SepSun1+38,""))</f>
        <v/>
      </c>
      <c r="V27" s="34" t="str">
        <f>IF(DAY(SepSun1)=1,IF(AND(YEAR(SepSun1+32)=CalendarYear,MONTH(SepSun1+32)=9),SepSun1+32,""),IF(AND(YEAR(SepSun1+39)=CalendarYear,MONTH(SepSun1+39)=9),SepSun1+39,""))</f>
        <v/>
      </c>
      <c r="W27" s="34" t="str">
        <f>IF(DAY(SepSun1)=1,IF(AND(YEAR(SepSun1+33)=CalendarYear,MONTH(SepSun1+33)=9),SepSun1+33,""),IF(AND(YEAR(SepSun1+40)=CalendarYear,MONTH(SepSun1+40)=9),SepSun1+40,""))</f>
        <v/>
      </c>
      <c r="X27" s="34" t="str">
        <f>IF(DAY(SepSun1)=1,IF(AND(YEAR(SepSun1+34)=CalendarYear,MONTH(SepSun1+34)=9),SepSun1+34,""),IF(AND(YEAR(SepSun1+41)=CalendarYear,MONTH(SepSun1+41)=9),SepSun1+41,""))</f>
        <v/>
      </c>
      <c r="Y27" s="35" t="str">
        <f>IF(DAY(SepSun1)=1,IF(AND(YEAR(SepSun1+35)=CalendarYear,MONTH(SepSun1+35)=9),SepSun1+35,""),IF(AND(YEAR(SepSun1+42)=CalendarYear,MONTH(SepSun1+42)=9),SepSun1+42,""))</f>
        <v/>
      </c>
      <c r="Z27" s="40"/>
      <c r="AA27" s="33">
        <f>IF(DAY(OctSun1)=1,IF(AND(YEAR(OctSun1+29)=CalendarYear,MONTH(OctSun1+29)=10),OctSun1+29,""),IF(AND(YEAR(OctSun1+36)=CalendarYear,MONTH(OctSun1+36)=10),OctSun1+36,""))</f>
        <v>44864</v>
      </c>
      <c r="AB27" s="34">
        <f>IF(DAY(OctSun1)=1,IF(AND(YEAR(OctSun1+30)=CalendarYear,MONTH(OctSun1+30)=10),OctSun1+30,""),IF(AND(YEAR(OctSun1+37)=CalendarYear,MONTH(OctSun1+37)=10),OctSun1+37,""))</f>
        <v>44865</v>
      </c>
      <c r="AC27" s="34" t="str">
        <f>IF(DAY(OctSun1)=1,IF(AND(YEAR(OctSun1+31)=CalendarYear,MONTH(OctSun1+31)=10),OctSun1+31,""),IF(AND(YEAR(OctSun1+38)=CalendarYear,MONTH(OctSun1+38)=10),OctSun1+38,""))</f>
        <v/>
      </c>
      <c r="AD27" s="34" t="str">
        <f>IF(DAY(OctSun1)=1,IF(AND(YEAR(OctSun1+32)=CalendarYear,MONTH(OctSun1+32)=10),OctSun1+32,""),IF(AND(YEAR(OctSun1+39)=CalendarYear,MONTH(OctSun1+39)=10),OctSun1+39,""))</f>
        <v/>
      </c>
      <c r="AE27" s="34" t="str">
        <f>IF(DAY(OctSun1)=1,IF(AND(YEAR(OctSun1+33)=CalendarYear,MONTH(OctSun1+33)=10),OctSun1+33,""),IF(AND(YEAR(OctSun1+40)=CalendarYear,MONTH(OctSun1+40)=10),OctSun1+40,""))</f>
        <v/>
      </c>
      <c r="AF27" s="34" t="str">
        <f>IF(DAY(OctSun1)=1,IF(AND(YEAR(OctSun1+34)=CalendarYear,MONTH(OctSun1+34)=10),OctSun1+34,""),IF(AND(YEAR(OctSun1+41)=CalendarYear,MONTH(OctSun1+41)=10),OctSun1+41,""))</f>
        <v/>
      </c>
      <c r="AG27" s="35" t="str">
        <f>IF(DAY(OctSun1)=1,IF(AND(YEAR(OctSun1+35)=CalendarYear,MONTH(OctSun1+35)=10),OctSun1+35,""),IF(AND(YEAR(OctSun1+42)=CalendarYear,MONTH(OctSun1+42)=10),OctSun1+42,""))</f>
        <v/>
      </c>
      <c r="AH27" s="2"/>
      <c r="AI27" s="33" t="str">
        <f>IF(DAY(NovSun1)=1,IF(AND(YEAR(NovSun1+29)=CalendarYear,MONTH(NovSun1+29)=11),NovSun1+29,""),IF(AND(YEAR(NovSun1+36)=CalendarYear,MONTH(NovSun1+36)=11),NovSun1+36,""))</f>
        <v/>
      </c>
      <c r="AJ27" s="34" t="str">
        <f>IF(DAY(NovSun1)=1,IF(AND(YEAR(NovSun1+30)=CalendarYear,MONTH(NovSun1+30)=11),NovSun1+30,""),IF(AND(YEAR(NovSun1+37)=CalendarYear,MONTH(NovSun1+37)=11),NovSun1+37,""))</f>
        <v/>
      </c>
      <c r="AK27" s="34" t="str">
        <f>IF(DAY(NovSun1)=1,IF(AND(YEAR(NovSun1+31)=CalendarYear,MONTH(NovSun1+31)=11),NovSun1+31,""),IF(AND(YEAR(NovSun1+38)=CalendarYear,MONTH(NovSun1+38)=11),NovSun1+38,""))</f>
        <v/>
      </c>
      <c r="AL27" s="34" t="str">
        <f>IF(DAY(NovSun1)=1,IF(AND(YEAR(NovSun1+32)=CalendarYear,MONTH(NovSun1+32)=11),NovSun1+32,""),IF(AND(YEAR(NovSun1+39)=CalendarYear,MONTH(NovSun1+39)=11),NovSun1+39,""))</f>
        <v/>
      </c>
      <c r="AM27" s="34" t="str">
        <f>IF(DAY(NovSun1)=1,IF(AND(YEAR(NovSun1+33)=CalendarYear,MONTH(NovSun1+33)=11),NovSun1+33,""),IF(AND(YEAR(NovSun1+40)=CalendarYear,MONTH(NovSun1+40)=11),NovSun1+40,""))</f>
        <v/>
      </c>
      <c r="AN27" s="34" t="str">
        <f>IF(DAY(NovSun1)=1,IF(AND(YEAR(NovSun1+34)=CalendarYear,MONTH(NovSun1+34)=11),NovSun1+34,""),IF(AND(YEAR(NovSun1+41)=CalendarYear,MONTH(NovSun1+41)=11),NovSun1+41,""))</f>
        <v/>
      </c>
      <c r="AO27" s="35" t="str">
        <f>IF(DAY(NovSun1)=1,IF(AND(YEAR(NovSun1+35)=CalendarYear,MONTH(NovSun1+35)=11),NovSun1+35,""),IF(AND(YEAR(NovSun1+42)=CalendarYear,MONTH(NovSun1+42)=11),NovSun1+42,""))</f>
        <v/>
      </c>
      <c r="AP27" s="40"/>
      <c r="AQ27" s="33" t="str">
        <f>IF(DAY(DecSun1)=1,IF(AND(YEAR(DecSun1+29)=CalendarYear,MONTH(DecSun1+29)=12),DecSun1+29,""),IF(AND(YEAR(DecSun1+36)=CalendarYear,MONTH(DecSun1+36)=12),DecSun1+36,""))</f>
        <v/>
      </c>
      <c r="AR27" s="34" t="str">
        <f>IF(DAY(DecSun1)=1,IF(AND(YEAR(DecSun1+30)=CalendarYear,MONTH(DecSun1+30)=12),DecSun1+30,""),IF(AND(YEAR(DecSun1+37)=CalendarYear,MONTH(DecSun1+37)=12),DecSun1+37,""))</f>
        <v/>
      </c>
      <c r="AS27" s="34" t="str">
        <f>IF(DAY(DecSun1)=1,IF(AND(YEAR(DecSun1+31)=CalendarYear,MONTH(DecSun1+31)=12),DecSun1+31,""),IF(AND(YEAR(DecSun1+38)=CalendarYear,MONTH(DecSun1+38)=12),DecSun1+38,""))</f>
        <v/>
      </c>
      <c r="AT27" s="34" t="str">
        <f>IF(DAY(DecSun1)=1,IF(AND(YEAR(DecSun1+32)=CalendarYear,MONTH(DecSun1+32)=12),DecSun1+32,""),IF(AND(YEAR(DecSun1+39)=CalendarYear,MONTH(DecSun1+39)=12),DecSun1+39,""))</f>
        <v/>
      </c>
      <c r="AU27" s="34" t="str">
        <f>IF(DAY(DecSun1)=1,IF(AND(YEAR(DecSun1+33)=CalendarYear,MONTH(DecSun1+33)=12),DecSun1+33,""),IF(AND(YEAR(DecSun1+40)=CalendarYear,MONTH(DecSun1+40)=12),DecSun1+40,""))</f>
        <v/>
      </c>
      <c r="AV27" s="34" t="str">
        <f>IF(DAY(DecSun1)=1,IF(AND(YEAR(DecSun1+34)=CalendarYear,MONTH(DecSun1+34)=12),DecSun1+34,""),IF(AND(YEAR(DecSun1+41)=CalendarYear,MONTH(DecSun1+41)=12),DecSun1+41,""))</f>
        <v/>
      </c>
      <c r="AW27" s="71" t="str">
        <f>IF(DAY(DecSun1)=1,IF(AND(YEAR(DecSun1+35)=CalendarYear,MONTH(DecSun1+35)=12),DecSun1+35,""),IF(AND(YEAR(DecSun1+42)=CalendarYear,MONTH(DecSun1+42)=12),DecSun1+42,""))</f>
        <v/>
      </c>
      <c r="AX27" s="86"/>
      <c r="AY27" s="85"/>
      <c r="AZ27" s="82" t="s">
        <v>91</v>
      </c>
      <c r="BA27" s="82" t="s">
        <v>92</v>
      </c>
      <c r="BB27" s="82" t="s">
        <v>92</v>
      </c>
      <c r="BC27" s="82" t="s">
        <v>92</v>
      </c>
      <c r="BD27" s="85"/>
      <c r="BE27" s="85"/>
      <c r="BF27" s="2"/>
    </row>
    <row r="28" spans="1:58" ht="2.4" customHeight="1" thickBot="1" x14ac:dyDescent="0.25">
      <c r="A28" s="39"/>
      <c r="B28" s="2"/>
      <c r="C28" s="77"/>
      <c r="D28" s="40"/>
      <c r="E28" s="40"/>
      <c r="F28" s="40"/>
      <c r="G28" s="40"/>
      <c r="H28" s="40"/>
      <c r="I28" s="40"/>
      <c r="J28" s="25"/>
      <c r="K28" s="24"/>
      <c r="L28" s="24"/>
      <c r="M28" s="24"/>
      <c r="N28" s="24"/>
      <c r="O28" s="24"/>
      <c r="P28" s="24"/>
      <c r="Q28" s="24"/>
      <c r="R28" s="23"/>
      <c r="S28" s="26"/>
      <c r="T28" s="22"/>
      <c r="U28" s="22"/>
      <c r="V28" s="22"/>
      <c r="W28" s="22"/>
      <c r="X28" s="22"/>
      <c r="Y28" s="23"/>
      <c r="Z28" s="22"/>
      <c r="AA28" s="22"/>
      <c r="AB28" s="22"/>
      <c r="AC28" s="22"/>
      <c r="AD28" s="22"/>
      <c r="AE28" s="22"/>
      <c r="AF28" s="22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78"/>
      <c r="AX28" s="2"/>
      <c r="AY28" s="2"/>
      <c r="AZ28" s="83"/>
      <c r="BA28" s="83"/>
      <c r="BB28" s="83"/>
      <c r="BC28" s="83"/>
      <c r="BD28" s="85"/>
      <c r="BE28" s="2"/>
      <c r="BF28" s="2"/>
    </row>
    <row r="29" spans="1:58" ht="15" customHeight="1" thickTop="1" x14ac:dyDescent="0.25">
      <c r="B29" s="2"/>
      <c r="C29" s="119" t="s">
        <v>35</v>
      </c>
      <c r="D29" s="120"/>
      <c r="E29" s="143" t="s">
        <v>37</v>
      </c>
      <c r="F29" s="144"/>
      <c r="G29" s="144"/>
      <c r="H29" s="144"/>
      <c r="I29" s="144"/>
      <c r="J29" s="144"/>
      <c r="K29" s="144"/>
      <c r="L29" s="143" t="s">
        <v>36</v>
      </c>
      <c r="M29" s="144"/>
      <c r="N29" s="144"/>
      <c r="O29" s="144"/>
      <c r="P29" s="144"/>
      <c r="Q29" s="144"/>
      <c r="R29" s="144"/>
      <c r="S29" s="119" t="s">
        <v>35</v>
      </c>
      <c r="T29" s="120"/>
      <c r="U29" s="154" t="s">
        <v>37</v>
      </c>
      <c r="V29" s="149"/>
      <c r="W29" s="149"/>
      <c r="X29" s="149"/>
      <c r="Y29" s="149"/>
      <c r="Z29" s="149"/>
      <c r="AA29" s="149"/>
      <c r="AB29" s="119" t="s">
        <v>36</v>
      </c>
      <c r="AC29" s="149"/>
      <c r="AD29" s="149"/>
      <c r="AE29" s="149"/>
      <c r="AF29" s="149"/>
      <c r="AG29" s="149"/>
      <c r="AH29" s="150"/>
      <c r="AI29" s="119" t="s">
        <v>38</v>
      </c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50"/>
      <c r="AX29" s="2"/>
      <c r="AY29" s="2"/>
      <c r="AZ29" s="93">
        <v>2</v>
      </c>
      <c r="BA29" s="85"/>
      <c r="BB29" s="85"/>
      <c r="BC29" s="91" t="s">
        <v>94</v>
      </c>
      <c r="BE29" s="2"/>
      <c r="BF29" s="2"/>
    </row>
    <row r="30" spans="1:58" ht="15" customHeight="1" x14ac:dyDescent="0.25">
      <c r="C30" s="135">
        <f>CalendarYear</f>
        <v>2022</v>
      </c>
      <c r="D30" s="136"/>
      <c r="E30" s="116" t="s">
        <v>40</v>
      </c>
      <c r="F30" s="116"/>
      <c r="G30" s="116" t="s">
        <v>39</v>
      </c>
      <c r="H30" s="116"/>
      <c r="I30" s="117" t="s">
        <v>41</v>
      </c>
      <c r="J30" s="118"/>
      <c r="K30" s="118"/>
      <c r="L30" s="54" t="s">
        <v>40</v>
      </c>
      <c r="M30" s="53"/>
      <c r="N30" s="145" t="s">
        <v>39</v>
      </c>
      <c r="O30" s="145"/>
      <c r="P30" s="145" t="s">
        <v>41</v>
      </c>
      <c r="Q30" s="145"/>
      <c r="R30" s="145"/>
      <c r="S30" s="111">
        <f>C30</f>
        <v>2022</v>
      </c>
      <c r="T30" s="112"/>
      <c r="U30" s="151" t="s">
        <v>40</v>
      </c>
      <c r="V30" s="152"/>
      <c r="W30" s="151" t="s">
        <v>39</v>
      </c>
      <c r="X30" s="152"/>
      <c r="Y30" s="148" t="s">
        <v>41</v>
      </c>
      <c r="Z30" s="145"/>
      <c r="AA30" s="145"/>
      <c r="AB30" s="153" t="s">
        <v>40</v>
      </c>
      <c r="AC30" s="116"/>
      <c r="AD30" s="116" t="s">
        <v>39</v>
      </c>
      <c r="AE30" s="116"/>
      <c r="AF30" s="148" t="s">
        <v>41</v>
      </c>
      <c r="AG30" s="145"/>
      <c r="AH30" s="145"/>
      <c r="AI30" s="147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37"/>
      <c r="AX30" s="2"/>
      <c r="AY30" s="2"/>
      <c r="AZ30" s="92">
        <v>1</v>
      </c>
      <c r="BA30" s="85"/>
      <c r="BB30" s="85"/>
      <c r="BC30" s="91" t="s">
        <v>93</v>
      </c>
      <c r="BE30" s="2"/>
      <c r="BF30" s="2"/>
    </row>
    <row r="31" spans="1:58" ht="15" customHeight="1" x14ac:dyDescent="0.2">
      <c r="B31" s="2"/>
      <c r="C31" s="139" t="s">
        <v>43</v>
      </c>
      <c r="D31" s="140"/>
      <c r="E31" s="52" t="s">
        <v>42</v>
      </c>
      <c r="F31" s="52"/>
      <c r="G31" s="52"/>
      <c r="H31" s="52"/>
      <c r="I31" s="137"/>
      <c r="J31" s="138"/>
      <c r="K31" s="138"/>
      <c r="L31" s="52" t="s">
        <v>42</v>
      </c>
      <c r="M31" s="39"/>
      <c r="N31" s="39"/>
      <c r="O31" s="39"/>
      <c r="P31" s="104"/>
      <c r="Q31" s="105"/>
      <c r="R31" s="106"/>
      <c r="S31" s="139" t="s">
        <v>43</v>
      </c>
      <c r="T31" s="140"/>
      <c r="U31" s="51" t="s">
        <v>42</v>
      </c>
      <c r="V31" s="51"/>
      <c r="W31" s="51"/>
      <c r="X31" s="51"/>
      <c r="Y31" s="104"/>
      <c r="Z31" s="105"/>
      <c r="AA31" s="105"/>
      <c r="AB31" s="55" t="s">
        <v>42</v>
      </c>
      <c r="AC31" s="51"/>
      <c r="AD31" s="51"/>
      <c r="AE31" s="51"/>
      <c r="AF31" s="104"/>
      <c r="AG31" s="105"/>
      <c r="AH31" s="105"/>
      <c r="AI31" s="147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37"/>
      <c r="AX31" s="2"/>
      <c r="AY31" s="2"/>
      <c r="AZ31" s="95">
        <v>3</v>
      </c>
      <c r="BA31" s="2"/>
      <c r="BB31" s="2"/>
      <c r="BC31" s="94" t="s">
        <v>96</v>
      </c>
      <c r="BD31" s="85"/>
      <c r="BE31" s="2"/>
      <c r="BF31" s="2"/>
    </row>
    <row r="32" spans="1:58" ht="15" customHeight="1" x14ac:dyDescent="0.2">
      <c r="B32" s="2"/>
      <c r="C32" s="141">
        <f>VLOOKUP($C$30,Bisemanas!$A$2:$AB$25,2,FALSE)</f>
        <v>44573</v>
      </c>
      <c r="D32" s="142"/>
      <c r="E32" s="146"/>
      <c r="F32" s="146"/>
      <c r="G32" s="146"/>
      <c r="H32" s="146"/>
      <c r="I32" s="137"/>
      <c r="J32" s="138"/>
      <c r="K32" s="138"/>
      <c r="L32" s="138"/>
      <c r="M32" s="147"/>
      <c r="N32" s="146"/>
      <c r="O32" s="146"/>
      <c r="P32" s="146"/>
      <c r="Q32" s="146"/>
      <c r="R32" s="104"/>
      <c r="S32" s="141">
        <f>VLOOKUP($C$30,Bisemanas!$A$2:$AB$25,15,FALSE)</f>
        <v>44755</v>
      </c>
      <c r="T32" s="140"/>
      <c r="U32" s="146"/>
      <c r="V32" s="146"/>
      <c r="W32" s="146"/>
      <c r="X32" s="146"/>
      <c r="Y32" s="146"/>
      <c r="Z32" s="146"/>
      <c r="AA32" s="104"/>
      <c r="AB32" s="147"/>
      <c r="AC32" s="146"/>
      <c r="AD32" s="146"/>
      <c r="AE32" s="146"/>
      <c r="AF32" s="146"/>
      <c r="AG32" s="146"/>
      <c r="AH32" s="104"/>
      <c r="AI32" s="147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37"/>
      <c r="AX32" s="2"/>
      <c r="AY32" s="2"/>
      <c r="BD32" s="85"/>
      <c r="BE32" s="2"/>
      <c r="BF32" s="2"/>
    </row>
    <row r="33" spans="2:58" ht="15" customHeight="1" x14ac:dyDescent="0.2">
      <c r="B33" s="2"/>
      <c r="C33" s="141">
        <f>VLOOKUP($C$30,Bisemanas!$A$2:$AB$25,3,FALSE)</f>
        <v>44587</v>
      </c>
      <c r="D33" s="142"/>
      <c r="E33" s="146"/>
      <c r="F33" s="146"/>
      <c r="G33" s="146"/>
      <c r="H33" s="146"/>
      <c r="I33" s="137"/>
      <c r="J33" s="138"/>
      <c r="K33" s="138"/>
      <c r="L33" s="138"/>
      <c r="M33" s="147"/>
      <c r="N33" s="146"/>
      <c r="O33" s="146"/>
      <c r="P33" s="146"/>
      <c r="Q33" s="146"/>
      <c r="R33" s="104"/>
      <c r="S33" s="141">
        <f>VLOOKUP($C$30,Bisemanas!$A$2:$AB$25,16,FALSE)</f>
        <v>44769</v>
      </c>
      <c r="T33" s="140"/>
      <c r="U33" s="146"/>
      <c r="V33" s="146"/>
      <c r="W33" s="146"/>
      <c r="X33" s="146"/>
      <c r="Y33" s="146"/>
      <c r="Z33" s="146"/>
      <c r="AA33" s="104"/>
      <c r="AB33" s="147"/>
      <c r="AC33" s="146"/>
      <c r="AD33" s="146"/>
      <c r="AE33" s="146"/>
      <c r="AF33" s="146"/>
      <c r="AG33" s="146"/>
      <c r="AH33" s="104"/>
      <c r="AI33" s="147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37"/>
      <c r="AX33" s="2"/>
      <c r="AY33" s="2"/>
      <c r="AZ33" s="97"/>
      <c r="BA33" s="96"/>
      <c r="BB33" s="96"/>
      <c r="BC33" s="94" t="s">
        <v>95</v>
      </c>
      <c r="BD33" s="85"/>
      <c r="BE33" s="2"/>
      <c r="BF33" s="2"/>
    </row>
    <row r="34" spans="2:58" ht="15" customHeight="1" x14ac:dyDescent="0.2">
      <c r="B34" s="2"/>
      <c r="C34" s="141">
        <f>VLOOKUP($C$30,Bisemanas!$A$2:$AB$25,4,FALSE)</f>
        <v>44601</v>
      </c>
      <c r="D34" s="142"/>
      <c r="E34" s="146"/>
      <c r="F34" s="146"/>
      <c r="G34" s="146"/>
      <c r="H34" s="146"/>
      <c r="I34" s="137"/>
      <c r="J34" s="138"/>
      <c r="K34" s="138"/>
      <c r="L34" s="138"/>
      <c r="M34" s="147"/>
      <c r="N34" s="146"/>
      <c r="O34" s="146"/>
      <c r="P34" s="146"/>
      <c r="Q34" s="146"/>
      <c r="R34" s="104"/>
      <c r="S34" s="141">
        <f>VLOOKUP($C$30,Bisemanas!$A$2:$AB$25,17,FALSE)</f>
        <v>44783</v>
      </c>
      <c r="T34" s="140"/>
      <c r="U34" s="146"/>
      <c r="V34" s="146"/>
      <c r="W34" s="146"/>
      <c r="X34" s="146"/>
      <c r="Y34" s="146"/>
      <c r="Z34" s="146"/>
      <c r="AA34" s="104"/>
      <c r="AB34" s="147"/>
      <c r="AC34" s="146"/>
      <c r="AD34" s="146"/>
      <c r="AE34" s="146"/>
      <c r="AF34" s="146"/>
      <c r="AG34" s="146"/>
      <c r="AH34" s="104"/>
      <c r="AI34" s="147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37"/>
      <c r="AX34" s="2"/>
      <c r="AY34" s="2"/>
      <c r="BD34" s="2"/>
      <c r="BE34" s="2"/>
      <c r="BF34" s="2"/>
    </row>
    <row r="35" spans="2:58" ht="15" customHeight="1" x14ac:dyDescent="0.2">
      <c r="B35" s="2"/>
      <c r="C35" s="141">
        <f>VLOOKUP($C$30,Bisemanas!$A$2:$AB$25,5,FALSE)</f>
        <v>44615</v>
      </c>
      <c r="D35" s="142"/>
      <c r="E35" s="146"/>
      <c r="F35" s="146"/>
      <c r="G35" s="146"/>
      <c r="H35" s="146"/>
      <c r="I35" s="137"/>
      <c r="J35" s="138"/>
      <c r="K35" s="138"/>
      <c r="L35" s="138"/>
      <c r="M35" s="147"/>
      <c r="N35" s="146"/>
      <c r="O35" s="146"/>
      <c r="P35" s="146"/>
      <c r="Q35" s="146"/>
      <c r="R35" s="104"/>
      <c r="S35" s="141">
        <f>VLOOKUP($C$30,Bisemanas!$A$2:$AB$25,18,FALSE)</f>
        <v>44797</v>
      </c>
      <c r="T35" s="140"/>
      <c r="U35" s="146"/>
      <c r="V35" s="146"/>
      <c r="W35" s="146"/>
      <c r="X35" s="146"/>
      <c r="Y35" s="146"/>
      <c r="Z35" s="146"/>
      <c r="AA35" s="104"/>
      <c r="AB35" s="147"/>
      <c r="AC35" s="146"/>
      <c r="AD35" s="146"/>
      <c r="AE35" s="146"/>
      <c r="AF35" s="146"/>
      <c r="AG35" s="146"/>
      <c r="AH35" s="104"/>
      <c r="AI35" s="147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37"/>
      <c r="AX35" s="2"/>
      <c r="AY35" s="2"/>
      <c r="BA35" s="2"/>
      <c r="BB35" s="2"/>
      <c r="BC35" s="2"/>
      <c r="BD35" s="2"/>
      <c r="BE35" s="2"/>
      <c r="BF35" s="2"/>
    </row>
    <row r="36" spans="2:58" ht="15" customHeight="1" x14ac:dyDescent="0.2">
      <c r="B36" s="2"/>
      <c r="C36" s="141">
        <f>VLOOKUP($C$30,Bisemanas!$A$2:$AB$25,6,FALSE)</f>
        <v>44629</v>
      </c>
      <c r="D36" s="142"/>
      <c r="E36" s="146"/>
      <c r="F36" s="146"/>
      <c r="G36" s="146"/>
      <c r="H36" s="146"/>
      <c r="I36" s="137"/>
      <c r="J36" s="138"/>
      <c r="K36" s="138"/>
      <c r="L36" s="138"/>
      <c r="M36" s="147"/>
      <c r="N36" s="146"/>
      <c r="O36" s="146"/>
      <c r="P36" s="146"/>
      <c r="Q36" s="146"/>
      <c r="R36" s="104"/>
      <c r="S36" s="141">
        <f>VLOOKUP($C$30,Bisemanas!$A$2:$AB$25,19,FALSE)</f>
        <v>44811</v>
      </c>
      <c r="T36" s="140"/>
      <c r="U36" s="146"/>
      <c r="V36" s="146"/>
      <c r="W36" s="146"/>
      <c r="X36" s="146"/>
      <c r="Y36" s="146"/>
      <c r="Z36" s="146"/>
      <c r="AA36" s="104"/>
      <c r="AB36" s="147"/>
      <c r="AC36" s="146"/>
      <c r="AD36" s="146"/>
      <c r="AE36" s="146"/>
      <c r="AF36" s="146"/>
      <c r="AG36" s="146"/>
      <c r="AH36" s="104"/>
      <c r="AI36" s="147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37"/>
      <c r="AX36" s="2"/>
      <c r="AY36" s="2"/>
      <c r="AZ36" s="85" t="s">
        <v>90</v>
      </c>
      <c r="BD36" s="2"/>
      <c r="BE36" s="2"/>
      <c r="BF36" s="2"/>
    </row>
    <row r="37" spans="2:58" ht="15" customHeight="1" x14ac:dyDescent="0.2">
      <c r="B37" s="2"/>
      <c r="C37" s="141">
        <f>VLOOKUP($C$30,Bisemanas!$A$2:$AB$25,7,FALSE)</f>
        <v>44643</v>
      </c>
      <c r="D37" s="142"/>
      <c r="E37" s="146"/>
      <c r="F37" s="146"/>
      <c r="G37" s="146"/>
      <c r="H37" s="146"/>
      <c r="I37" s="137"/>
      <c r="J37" s="138"/>
      <c r="K37" s="138"/>
      <c r="L37" s="138"/>
      <c r="M37" s="147"/>
      <c r="N37" s="146"/>
      <c r="O37" s="146"/>
      <c r="P37" s="146"/>
      <c r="Q37" s="146"/>
      <c r="R37" s="104"/>
      <c r="S37" s="141">
        <f>VLOOKUP($C$30,Bisemanas!$A$2:$AB$25,20,FALSE)</f>
        <v>44825</v>
      </c>
      <c r="T37" s="140"/>
      <c r="U37" s="146"/>
      <c r="V37" s="146"/>
      <c r="W37" s="146"/>
      <c r="X37" s="146"/>
      <c r="Y37" s="146"/>
      <c r="Z37" s="146"/>
      <c r="AA37" s="104"/>
      <c r="AB37" s="147"/>
      <c r="AC37" s="146"/>
      <c r="AD37" s="146"/>
      <c r="AE37" s="146"/>
      <c r="AF37" s="146"/>
      <c r="AG37" s="146"/>
      <c r="AH37" s="104"/>
      <c r="AI37" s="147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37"/>
      <c r="AX37" s="2"/>
      <c r="AY37" s="2"/>
      <c r="BA37" s="2"/>
      <c r="BB37" s="2"/>
      <c r="BC37" s="2"/>
      <c r="BD37" s="2"/>
      <c r="BE37" s="2"/>
      <c r="BF37" s="2"/>
    </row>
    <row r="38" spans="2:58" ht="15" customHeight="1" x14ac:dyDescent="0.2">
      <c r="B38" s="2"/>
      <c r="C38" s="141">
        <f>VLOOKUP($C$30,Bisemanas!$A$2:$AB$25,8,FALSE)</f>
        <v>44657</v>
      </c>
      <c r="D38" s="142"/>
      <c r="E38" s="146"/>
      <c r="F38" s="146"/>
      <c r="G38" s="146"/>
      <c r="H38" s="146"/>
      <c r="I38" s="137"/>
      <c r="J38" s="138"/>
      <c r="K38" s="138"/>
      <c r="L38" s="138"/>
      <c r="M38" s="147"/>
      <c r="N38" s="146"/>
      <c r="O38" s="146"/>
      <c r="P38" s="146"/>
      <c r="Q38" s="146"/>
      <c r="R38" s="104"/>
      <c r="S38" s="141">
        <f>VLOOKUP($C$30,Bisemanas!$A$2:$AB$25,21,FALSE)</f>
        <v>44839</v>
      </c>
      <c r="T38" s="140"/>
      <c r="U38" s="146"/>
      <c r="V38" s="146"/>
      <c r="W38" s="146"/>
      <c r="X38" s="146"/>
      <c r="Y38" s="146"/>
      <c r="Z38" s="146"/>
      <c r="AA38" s="104"/>
      <c r="AB38" s="147"/>
      <c r="AC38" s="146"/>
      <c r="AD38" s="146"/>
      <c r="AE38" s="146"/>
      <c r="AF38" s="146"/>
      <c r="AG38" s="146"/>
      <c r="AH38" s="104"/>
      <c r="AI38" s="147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37"/>
      <c r="AX38" s="2"/>
      <c r="AY38" s="2"/>
      <c r="BA38" s="2"/>
      <c r="BB38" s="2"/>
      <c r="BC38" s="2"/>
      <c r="BD38" s="2"/>
      <c r="BE38" s="2"/>
      <c r="BF38" s="2"/>
    </row>
    <row r="39" spans="2:58" ht="15" customHeight="1" x14ac:dyDescent="0.2">
      <c r="C39" s="141">
        <f>VLOOKUP($C$30,Bisemanas!$A$2:$AB$25,9,FALSE)</f>
        <v>44671</v>
      </c>
      <c r="D39" s="142"/>
      <c r="E39" s="146"/>
      <c r="F39" s="146"/>
      <c r="G39" s="146"/>
      <c r="H39" s="146"/>
      <c r="I39" s="137"/>
      <c r="J39" s="138"/>
      <c r="K39" s="138"/>
      <c r="L39" s="138"/>
      <c r="M39" s="147"/>
      <c r="N39" s="146"/>
      <c r="O39" s="146"/>
      <c r="P39" s="146"/>
      <c r="Q39" s="146"/>
      <c r="R39" s="104"/>
      <c r="S39" s="141">
        <f>VLOOKUP($C$30,Bisemanas!$A$2:$AB$25,22,FALSE)</f>
        <v>44853</v>
      </c>
      <c r="T39" s="140"/>
      <c r="U39" s="146"/>
      <c r="V39" s="146"/>
      <c r="W39" s="146"/>
      <c r="X39" s="146"/>
      <c r="Y39" s="146"/>
      <c r="Z39" s="146"/>
      <c r="AA39" s="104"/>
      <c r="AB39" s="147"/>
      <c r="AC39" s="146"/>
      <c r="AD39" s="146"/>
      <c r="AE39" s="146"/>
      <c r="AF39" s="146"/>
      <c r="AG39" s="146"/>
      <c r="AH39" s="104"/>
      <c r="AI39" s="147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37"/>
      <c r="BA39" s="2"/>
      <c r="BB39" s="2"/>
      <c r="BC39" s="2"/>
      <c r="BD39" s="2"/>
    </row>
    <row r="40" spans="2:58" ht="15" customHeight="1" x14ac:dyDescent="0.2">
      <c r="C40" s="141">
        <f>VLOOKUP($C$30,Bisemanas!$A$2:$AB$25,10,FALSE)</f>
        <v>44685</v>
      </c>
      <c r="D40" s="142"/>
      <c r="E40" s="146"/>
      <c r="F40" s="146"/>
      <c r="G40" s="146"/>
      <c r="H40" s="146"/>
      <c r="I40" s="137"/>
      <c r="J40" s="138"/>
      <c r="K40" s="138"/>
      <c r="L40" s="138"/>
      <c r="M40" s="147"/>
      <c r="N40" s="146"/>
      <c r="O40" s="146"/>
      <c r="P40" s="146"/>
      <c r="Q40" s="146"/>
      <c r="R40" s="104"/>
      <c r="S40" s="141">
        <f>VLOOKUP($C$30,Bisemanas!$A$2:$AB$25,23,FALSE)</f>
        <v>44867</v>
      </c>
      <c r="T40" s="140"/>
      <c r="U40" s="146"/>
      <c r="V40" s="146"/>
      <c r="W40" s="146"/>
      <c r="X40" s="146"/>
      <c r="Y40" s="146"/>
      <c r="Z40" s="146"/>
      <c r="AA40" s="104"/>
      <c r="AB40" s="147"/>
      <c r="AC40" s="146"/>
      <c r="AD40" s="146"/>
      <c r="AE40" s="146"/>
      <c r="AF40" s="146"/>
      <c r="AG40" s="146"/>
      <c r="AH40" s="104"/>
      <c r="AI40" s="147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37"/>
    </row>
    <row r="41" spans="2:58" ht="15" customHeight="1" x14ac:dyDescent="0.2">
      <c r="C41" s="141">
        <f>VLOOKUP($C$30,Bisemanas!$A$2:$AB$25,11,FALSE)</f>
        <v>44699</v>
      </c>
      <c r="D41" s="142"/>
      <c r="E41" s="146"/>
      <c r="F41" s="146"/>
      <c r="G41" s="146"/>
      <c r="H41" s="146"/>
      <c r="I41" s="137"/>
      <c r="J41" s="138"/>
      <c r="K41" s="138"/>
      <c r="L41" s="138"/>
      <c r="M41" s="147"/>
      <c r="N41" s="146"/>
      <c r="O41" s="146"/>
      <c r="P41" s="146"/>
      <c r="Q41" s="146"/>
      <c r="R41" s="104"/>
      <c r="S41" s="141">
        <f>VLOOKUP($C$30,Bisemanas!$A$2:$AB$25,24,FALSE)</f>
        <v>44881</v>
      </c>
      <c r="T41" s="140"/>
      <c r="U41" s="146"/>
      <c r="V41" s="146"/>
      <c r="W41" s="146"/>
      <c r="X41" s="146"/>
      <c r="Y41" s="146"/>
      <c r="Z41" s="146"/>
      <c r="AA41" s="104"/>
      <c r="AB41" s="147"/>
      <c r="AC41" s="146"/>
      <c r="AD41" s="146"/>
      <c r="AE41" s="146"/>
      <c r="AF41" s="146"/>
      <c r="AG41" s="146"/>
      <c r="AH41" s="104"/>
      <c r="AI41" s="147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37"/>
    </row>
    <row r="42" spans="2:58" ht="15" customHeight="1" x14ac:dyDescent="0.2">
      <c r="C42" s="141">
        <f>VLOOKUP($C$30,Bisemanas!$A$2:$AB$25,12,FALSE)</f>
        <v>44713</v>
      </c>
      <c r="D42" s="142"/>
      <c r="E42" s="146"/>
      <c r="F42" s="146"/>
      <c r="G42" s="146"/>
      <c r="H42" s="146"/>
      <c r="I42" s="137"/>
      <c r="J42" s="138"/>
      <c r="K42" s="138"/>
      <c r="L42" s="138"/>
      <c r="M42" s="147"/>
      <c r="N42" s="146"/>
      <c r="O42" s="146"/>
      <c r="P42" s="146"/>
      <c r="Q42" s="146"/>
      <c r="R42" s="104"/>
      <c r="S42" s="141">
        <f>VLOOKUP($C$30,Bisemanas!$A$2:$AB$25,25,FALSE)</f>
        <v>44895</v>
      </c>
      <c r="T42" s="140"/>
      <c r="U42" s="146"/>
      <c r="V42" s="146"/>
      <c r="W42" s="146"/>
      <c r="X42" s="146"/>
      <c r="Y42" s="146"/>
      <c r="Z42" s="146"/>
      <c r="AA42" s="104"/>
      <c r="AB42" s="147"/>
      <c r="AC42" s="146"/>
      <c r="AD42" s="146"/>
      <c r="AE42" s="146"/>
      <c r="AF42" s="146"/>
      <c r="AG42" s="146"/>
      <c r="AH42" s="104"/>
      <c r="AI42" s="147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37"/>
      <c r="BA42" s="2"/>
      <c r="BB42" s="2"/>
      <c r="BC42" s="2"/>
      <c r="BD42" s="2"/>
    </row>
    <row r="43" spans="2:58" ht="15" customHeight="1" x14ac:dyDescent="0.2">
      <c r="C43" s="141">
        <f>VLOOKUP($C$30,Bisemanas!$A$2:$AB$25,13,FALSE)</f>
        <v>44727</v>
      </c>
      <c r="D43" s="142"/>
      <c r="E43" s="146"/>
      <c r="F43" s="146"/>
      <c r="G43" s="146"/>
      <c r="H43" s="146"/>
      <c r="I43" s="137"/>
      <c r="J43" s="138"/>
      <c r="K43" s="138"/>
      <c r="L43" s="138"/>
      <c r="M43" s="147"/>
      <c r="N43" s="146"/>
      <c r="O43" s="146"/>
      <c r="P43" s="146"/>
      <c r="Q43" s="146"/>
      <c r="R43" s="104"/>
      <c r="S43" s="141">
        <f>VLOOKUP($C$30,Bisemanas!$A$2:$AB$25,26,FALSE)</f>
        <v>44909</v>
      </c>
      <c r="T43" s="140"/>
      <c r="U43" s="146"/>
      <c r="V43" s="146"/>
      <c r="W43" s="146"/>
      <c r="X43" s="146"/>
      <c r="Y43" s="146"/>
      <c r="Z43" s="146"/>
      <c r="AA43" s="104"/>
      <c r="AB43" s="147"/>
      <c r="AC43" s="146"/>
      <c r="AD43" s="146"/>
      <c r="AE43" s="146"/>
      <c r="AF43" s="146"/>
      <c r="AG43" s="146"/>
      <c r="AH43" s="104"/>
      <c r="AI43" s="147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37"/>
      <c r="AZ43" s="2"/>
      <c r="BA43" s="2"/>
      <c r="BB43" s="2"/>
      <c r="BC43" s="2"/>
      <c r="BD43" s="2"/>
    </row>
    <row r="44" spans="2:58" ht="15" customHeight="1" x14ac:dyDescent="0.2">
      <c r="C44" s="141">
        <f>VLOOKUP($C$30,Bisemanas!$A$2:$AB$25,14,FALSE)</f>
        <v>44741</v>
      </c>
      <c r="D44" s="142"/>
      <c r="E44" s="146"/>
      <c r="F44" s="146"/>
      <c r="G44" s="146"/>
      <c r="H44" s="146"/>
      <c r="I44" s="137"/>
      <c r="J44" s="138"/>
      <c r="K44" s="138"/>
      <c r="L44" s="138"/>
      <c r="M44" s="147"/>
      <c r="N44" s="146"/>
      <c r="O44" s="146"/>
      <c r="P44" s="146"/>
      <c r="Q44" s="146"/>
      <c r="R44" s="104"/>
      <c r="S44" s="141">
        <f>VLOOKUP($C$30,Bisemanas!$A$2:$AB$25,27,FALSE)</f>
        <v>44923</v>
      </c>
      <c r="T44" s="140"/>
      <c r="U44" s="146"/>
      <c r="V44" s="146"/>
      <c r="W44" s="146"/>
      <c r="X44" s="146"/>
      <c r="Y44" s="146"/>
      <c r="Z44" s="146"/>
      <c r="AA44" s="104"/>
      <c r="AB44" s="147"/>
      <c r="AC44" s="146"/>
      <c r="AD44" s="146"/>
      <c r="AE44" s="146"/>
      <c r="AF44" s="146"/>
      <c r="AG44" s="146"/>
      <c r="AH44" s="104"/>
      <c r="AI44" s="158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6"/>
      <c r="AZ44" s="2"/>
      <c r="BA44" s="2"/>
      <c r="BB44" s="2"/>
      <c r="BC44" s="2"/>
      <c r="BD44" s="2"/>
    </row>
    <row r="45" spans="2:58" ht="15" customHeight="1" thickBot="1" x14ac:dyDescent="0.25">
      <c r="C45" s="161"/>
      <c r="D45" s="162"/>
      <c r="E45" s="160"/>
      <c r="F45" s="160"/>
      <c r="G45" s="160"/>
      <c r="H45" s="160"/>
      <c r="I45" s="160"/>
      <c r="J45" s="160"/>
      <c r="K45" s="163"/>
      <c r="L45" s="164"/>
      <c r="M45" s="160"/>
      <c r="N45" s="160"/>
      <c r="O45" s="160"/>
      <c r="P45" s="160"/>
      <c r="Q45" s="160"/>
      <c r="R45" s="163"/>
      <c r="S45" s="165" t="str">
        <f>IFERROR(VLOOKUP($C$30,Bisemanas!$A$2:$AB$25,28,FALSE)," ")</f>
        <v xml:space="preserve"> </v>
      </c>
      <c r="T45" s="166"/>
      <c r="U45" s="167"/>
      <c r="V45" s="167"/>
      <c r="W45" s="160"/>
      <c r="X45" s="160"/>
      <c r="Y45" s="160"/>
      <c r="Z45" s="160"/>
      <c r="AA45" s="163"/>
      <c r="AB45" s="164"/>
      <c r="AC45" s="160"/>
      <c r="AD45" s="160"/>
      <c r="AE45" s="160"/>
      <c r="AF45" s="160"/>
      <c r="AG45" s="160"/>
      <c r="AH45" s="163"/>
      <c r="AI45" s="155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7"/>
    </row>
    <row r="46" spans="2:58" ht="15" customHeight="1" thickTop="1" x14ac:dyDescent="0.2">
      <c r="C46" s="13"/>
      <c r="D46" s="13"/>
      <c r="E46" s="13"/>
      <c r="F46" s="13"/>
      <c r="G46" s="13"/>
      <c r="H46" s="13"/>
      <c r="I46" s="13"/>
      <c r="J46" s="14"/>
      <c r="K46" s="13"/>
      <c r="L46" s="13"/>
      <c r="M46" s="13"/>
      <c r="N46" s="13"/>
      <c r="O46" s="13"/>
      <c r="P46" s="13"/>
      <c r="Q46" s="13"/>
      <c r="R46" s="12"/>
      <c r="S46" s="5"/>
      <c r="T46" s="15"/>
      <c r="U46" s="9"/>
      <c r="V46" s="9"/>
    </row>
    <row r="47" spans="2:58" ht="15" customHeight="1" x14ac:dyDescent="0.2">
      <c r="R47" s="12"/>
      <c r="S47" s="5"/>
      <c r="T47" s="14"/>
      <c r="U47" s="14"/>
      <c r="V47" s="14"/>
      <c r="W47" s="5"/>
      <c r="X47" s="5"/>
      <c r="Y47" s="5"/>
      <c r="Z47" s="5"/>
      <c r="AA47" s="5"/>
      <c r="AB47" s="5"/>
      <c r="AC47" s="5"/>
    </row>
    <row r="48" spans="2:58" ht="15" customHeight="1" x14ac:dyDescent="0.2">
      <c r="R48" s="12"/>
      <c r="S48" s="5"/>
      <c r="T48" s="14"/>
      <c r="U48" s="14"/>
      <c r="V48" s="14"/>
      <c r="W48" s="103"/>
      <c r="X48" s="103"/>
      <c r="Y48" s="103"/>
      <c r="Z48" s="103"/>
      <c r="AA48" s="103"/>
      <c r="AB48" s="103"/>
      <c r="AC48" s="103"/>
    </row>
    <row r="49" spans="18:29" ht="15" customHeight="1" x14ac:dyDescent="0.2">
      <c r="R49" s="12"/>
      <c r="S49" s="5"/>
      <c r="T49" s="14"/>
      <c r="U49" s="14"/>
      <c r="V49" s="14"/>
      <c r="W49" s="103"/>
      <c r="X49" s="103"/>
      <c r="Y49" s="103"/>
      <c r="Z49" s="103"/>
      <c r="AA49" s="103"/>
      <c r="AB49" s="103"/>
      <c r="AC49" s="103"/>
    </row>
    <row r="50" spans="18:29" ht="15" customHeight="1" x14ac:dyDescent="0.2">
      <c r="R50" s="12"/>
      <c r="S50" s="5"/>
      <c r="T50" s="16"/>
      <c r="U50" s="16"/>
      <c r="V50" s="16"/>
    </row>
    <row r="51" spans="18:29" ht="15" customHeight="1" x14ac:dyDescent="0.2">
      <c r="R51" s="12"/>
      <c r="S51" s="5"/>
      <c r="T51" s="14"/>
      <c r="U51" s="16"/>
      <c r="V51" s="16"/>
    </row>
    <row r="52" spans="18:29" ht="15" customHeight="1" x14ac:dyDescent="0.2"/>
    <row r="53" spans="18:29" ht="15" customHeight="1" x14ac:dyDescent="0.2"/>
    <row r="54" spans="18:29" ht="15" customHeight="1" x14ac:dyDescent="0.2"/>
    <row r="55" spans="18:29" ht="15" customHeight="1" x14ac:dyDescent="0.2"/>
    <row r="56" spans="18:29" ht="15" customHeight="1" x14ac:dyDescent="0.2"/>
    <row r="57" spans="18:29" ht="15" customHeight="1" x14ac:dyDescent="0.2"/>
    <row r="58" spans="18:29" ht="15" customHeight="1" x14ac:dyDescent="0.2"/>
    <row r="59" spans="18:29" ht="15" customHeight="1" x14ac:dyDescent="0.2"/>
    <row r="60" spans="18:29" ht="15" customHeight="1" x14ac:dyDescent="0.2"/>
    <row r="61" spans="18:29" ht="15" customHeight="1" x14ac:dyDescent="0.2"/>
    <row r="62" spans="18:29" ht="15" customHeight="1" x14ac:dyDescent="0.2"/>
  </sheetData>
  <sheetProtection algorithmName="SHA-512" hashValue="wKNYNyNWcPU+gFiF+ltrvw/YEUBPfZCov+n64BPhZjkTLn7nQyeYhDLRGea/dqjh+os9KfUz0D5y9qySIrq9yA==" saltValue="0h2Bxr0C2aoww88ZYI9McA==" spinCount="100000" sheet="1"/>
  <mergeCells count="289">
    <mergeCell ref="BA2:BC2"/>
    <mergeCell ref="AE5:AH5"/>
    <mergeCell ref="AD45:AE45"/>
    <mergeCell ref="AF45:AH45"/>
    <mergeCell ref="AB29:AH29"/>
    <mergeCell ref="S45:T45"/>
    <mergeCell ref="U45:V45"/>
    <mergeCell ref="W45:X45"/>
    <mergeCell ref="Y45:AA45"/>
    <mergeCell ref="AB45:AC45"/>
    <mergeCell ref="AB44:AC44"/>
    <mergeCell ref="AD44:AE44"/>
    <mergeCell ref="AF44:AH44"/>
    <mergeCell ref="AB42:AC42"/>
    <mergeCell ref="AD42:AE42"/>
    <mergeCell ref="AF42:AH42"/>
    <mergeCell ref="AB43:AC43"/>
    <mergeCell ref="AD43:AE43"/>
    <mergeCell ref="AF43:AH43"/>
    <mergeCell ref="AB40:AC40"/>
    <mergeCell ref="AD40:AE40"/>
    <mergeCell ref="AF40:AH40"/>
    <mergeCell ref="AB41:AC41"/>
    <mergeCell ref="AD41:AE41"/>
    <mergeCell ref="W40:X40"/>
    <mergeCell ref="Y40:AA40"/>
    <mergeCell ref="L1:P1"/>
    <mergeCell ref="E45:F45"/>
    <mergeCell ref="C45:D45"/>
    <mergeCell ref="G45:H45"/>
    <mergeCell ref="I45:K45"/>
    <mergeCell ref="L45:M45"/>
    <mergeCell ref="N45:O45"/>
    <mergeCell ref="P45:R45"/>
    <mergeCell ref="M2:Q2"/>
    <mergeCell ref="R2:V2"/>
    <mergeCell ref="F7:Q7"/>
    <mergeCell ref="H6:K6"/>
    <mergeCell ref="I8:K8"/>
    <mergeCell ref="P6:Q6"/>
    <mergeCell ref="U36:V36"/>
    <mergeCell ref="U32:V32"/>
    <mergeCell ref="N37:O37"/>
    <mergeCell ref="P37:R37"/>
    <mergeCell ref="L38:M38"/>
    <mergeCell ref="N38:O38"/>
    <mergeCell ref="P38:R38"/>
    <mergeCell ref="P34:R34"/>
    <mergeCell ref="W39:X39"/>
    <mergeCell ref="Y39:AA39"/>
    <mergeCell ref="W44:X44"/>
    <mergeCell ref="Y44:AA44"/>
    <mergeCell ref="AB32:AC32"/>
    <mergeCell ref="AD32:AE32"/>
    <mergeCell ref="AB33:AC33"/>
    <mergeCell ref="AD33:AE33"/>
    <mergeCell ref="AB34:AC34"/>
    <mergeCell ref="AD34:AE34"/>
    <mergeCell ref="AB35:AC35"/>
    <mergeCell ref="AD35:AE35"/>
    <mergeCell ref="AB36:AC36"/>
    <mergeCell ref="AD36:AE36"/>
    <mergeCell ref="AB37:AC37"/>
    <mergeCell ref="AD37:AE37"/>
    <mergeCell ref="AB38:AC38"/>
    <mergeCell ref="W42:X42"/>
    <mergeCell ref="Y42:AA42"/>
    <mergeCell ref="W43:X43"/>
    <mergeCell ref="Y43:AA43"/>
    <mergeCell ref="Y34:AA34"/>
    <mergeCell ref="W35:X35"/>
    <mergeCell ref="Y35:AA35"/>
    <mergeCell ref="W37:X37"/>
    <mergeCell ref="Y37:AA37"/>
    <mergeCell ref="U42:V42"/>
    <mergeCell ref="U43:V43"/>
    <mergeCell ref="U40:V40"/>
    <mergeCell ref="N44:O44"/>
    <mergeCell ref="P44:R44"/>
    <mergeCell ref="L41:M41"/>
    <mergeCell ref="N41:O41"/>
    <mergeCell ref="P41:R41"/>
    <mergeCell ref="L42:M42"/>
    <mergeCell ref="N42:O42"/>
    <mergeCell ref="P42:R42"/>
    <mergeCell ref="L44:M44"/>
    <mergeCell ref="L43:M43"/>
    <mergeCell ref="N43:O43"/>
    <mergeCell ref="P43:R43"/>
    <mergeCell ref="S42:T42"/>
    <mergeCell ref="S43:T43"/>
    <mergeCell ref="W41:X41"/>
    <mergeCell ref="Y41:AA41"/>
    <mergeCell ref="U38:V38"/>
    <mergeCell ref="W38:X38"/>
    <mergeCell ref="Y38:AA38"/>
    <mergeCell ref="U34:V34"/>
    <mergeCell ref="U44:V44"/>
    <mergeCell ref="U41:V41"/>
    <mergeCell ref="S44:T44"/>
    <mergeCell ref="S37:T37"/>
    <mergeCell ref="S38:T38"/>
    <mergeCell ref="S39:T39"/>
    <mergeCell ref="S40:T40"/>
    <mergeCell ref="S41:T41"/>
    <mergeCell ref="S35:T35"/>
    <mergeCell ref="U35:V35"/>
    <mergeCell ref="U39:V39"/>
    <mergeCell ref="AI42:AW42"/>
    <mergeCell ref="AI43:AW43"/>
    <mergeCell ref="AI45:AW45"/>
    <mergeCell ref="AI44:AW44"/>
    <mergeCell ref="AF32:AH32"/>
    <mergeCell ref="AF33:AH33"/>
    <mergeCell ref="AF34:AH34"/>
    <mergeCell ref="AF35:AH35"/>
    <mergeCell ref="AF36:AH36"/>
    <mergeCell ref="AF37:AH37"/>
    <mergeCell ref="AF38:AH38"/>
    <mergeCell ref="AF39:AH39"/>
    <mergeCell ref="AI37:AW37"/>
    <mergeCell ref="AI38:AW38"/>
    <mergeCell ref="AI39:AW39"/>
    <mergeCell ref="AI40:AW40"/>
    <mergeCell ref="AI41:AW41"/>
    <mergeCell ref="AF41:AH41"/>
    <mergeCell ref="AF31:AH31"/>
    <mergeCell ref="AF30:AH30"/>
    <mergeCell ref="AI29:AW29"/>
    <mergeCell ref="AI30:AW30"/>
    <mergeCell ref="AI31:AW31"/>
    <mergeCell ref="P35:R35"/>
    <mergeCell ref="L36:M36"/>
    <mergeCell ref="N36:O36"/>
    <mergeCell ref="P36:R36"/>
    <mergeCell ref="W32:X32"/>
    <mergeCell ref="Y32:AA32"/>
    <mergeCell ref="U33:V33"/>
    <mergeCell ref="W33:X33"/>
    <mergeCell ref="Y33:AA33"/>
    <mergeCell ref="W36:X36"/>
    <mergeCell ref="Y36:AA36"/>
    <mergeCell ref="U30:V30"/>
    <mergeCell ref="W30:X30"/>
    <mergeCell ref="AB30:AC30"/>
    <mergeCell ref="AD30:AE30"/>
    <mergeCell ref="U29:AA29"/>
    <mergeCell ref="Y30:AA30"/>
    <mergeCell ref="Y31:AA31"/>
    <mergeCell ref="W34:X34"/>
    <mergeCell ref="E39:F39"/>
    <mergeCell ref="G39:H39"/>
    <mergeCell ref="I39:K39"/>
    <mergeCell ref="E40:F40"/>
    <mergeCell ref="G40:H40"/>
    <mergeCell ref="I40:K40"/>
    <mergeCell ref="E37:F37"/>
    <mergeCell ref="G37:H37"/>
    <mergeCell ref="AI32:AW32"/>
    <mergeCell ref="AI33:AW33"/>
    <mergeCell ref="AI34:AW34"/>
    <mergeCell ref="AI35:AW35"/>
    <mergeCell ref="AI36:AW36"/>
    <mergeCell ref="AD38:AE38"/>
    <mergeCell ref="AB39:AC39"/>
    <mergeCell ref="AD39:AE39"/>
    <mergeCell ref="L39:M39"/>
    <mergeCell ref="N39:O39"/>
    <mergeCell ref="P39:R39"/>
    <mergeCell ref="L40:M40"/>
    <mergeCell ref="N40:O40"/>
    <mergeCell ref="P40:R40"/>
    <mergeCell ref="L37:M37"/>
    <mergeCell ref="U37:V37"/>
    <mergeCell ref="E43:F43"/>
    <mergeCell ref="G43:H43"/>
    <mergeCell ref="I43:K43"/>
    <mergeCell ref="E44:F44"/>
    <mergeCell ref="G44:H44"/>
    <mergeCell ref="I44:K44"/>
    <mergeCell ref="E41:F41"/>
    <mergeCell ref="G41:H41"/>
    <mergeCell ref="I41:K41"/>
    <mergeCell ref="E42:F42"/>
    <mergeCell ref="G42:H42"/>
    <mergeCell ref="I42:K42"/>
    <mergeCell ref="E38:F38"/>
    <mergeCell ref="G38:H38"/>
    <mergeCell ref="I38:K38"/>
    <mergeCell ref="E35:F35"/>
    <mergeCell ref="G35:H35"/>
    <mergeCell ref="I35:K35"/>
    <mergeCell ref="E36:F36"/>
    <mergeCell ref="G36:H36"/>
    <mergeCell ref="I36:K36"/>
    <mergeCell ref="I37:K37"/>
    <mergeCell ref="S31:T31"/>
    <mergeCell ref="I32:K32"/>
    <mergeCell ref="I33:K33"/>
    <mergeCell ref="I34:K34"/>
    <mergeCell ref="L32:M32"/>
    <mergeCell ref="N32:O32"/>
    <mergeCell ref="P32:R32"/>
    <mergeCell ref="L33:M33"/>
    <mergeCell ref="N33:O33"/>
    <mergeCell ref="P33:R33"/>
    <mergeCell ref="L34:M34"/>
    <mergeCell ref="N34:O34"/>
    <mergeCell ref="S32:T32"/>
    <mergeCell ref="S33:T33"/>
    <mergeCell ref="S34:T34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3:D33"/>
    <mergeCell ref="C34:D34"/>
    <mergeCell ref="E32:F32"/>
    <mergeCell ref="G32:H32"/>
    <mergeCell ref="E33:F33"/>
    <mergeCell ref="G33:H33"/>
    <mergeCell ref="E34:F34"/>
    <mergeCell ref="G34:H34"/>
    <mergeCell ref="S36:T36"/>
    <mergeCell ref="L35:M35"/>
    <mergeCell ref="N35:O35"/>
    <mergeCell ref="C29:D29"/>
    <mergeCell ref="C30:D30"/>
    <mergeCell ref="I31:K31"/>
    <mergeCell ref="C31:D31"/>
    <mergeCell ref="C32:D32"/>
    <mergeCell ref="E29:K29"/>
    <mergeCell ref="N30:O30"/>
    <mergeCell ref="P30:R30"/>
    <mergeCell ref="L29:R29"/>
    <mergeCell ref="AQ2:AU2"/>
    <mergeCell ref="AV2:AZ2"/>
    <mergeCell ref="W2:AA2"/>
    <mergeCell ref="AB2:AF2"/>
    <mergeCell ref="AG2:AK2"/>
    <mergeCell ref="O8:Q8"/>
    <mergeCell ref="R8:S8"/>
    <mergeCell ref="AI10:AO10"/>
    <mergeCell ref="AQ10:AW10"/>
    <mergeCell ref="X6:AH6"/>
    <mergeCell ref="AA7:AH7"/>
    <mergeCell ref="AD8:AH8"/>
    <mergeCell ref="W5:Z5"/>
    <mergeCell ref="AJ5:AS5"/>
    <mergeCell ref="AJ6:AS6"/>
    <mergeCell ref="AJ8:AS8"/>
    <mergeCell ref="AJ7:AS7"/>
    <mergeCell ref="AT7:AU7"/>
    <mergeCell ref="AT8:AU8"/>
    <mergeCell ref="AV6:AW6"/>
    <mergeCell ref="AV7:AW7"/>
    <mergeCell ref="AV8:AW8"/>
    <mergeCell ref="AV5:AW5"/>
    <mergeCell ref="AT5:AU5"/>
    <mergeCell ref="C2:F2"/>
    <mergeCell ref="C10:I10"/>
    <mergeCell ref="K10:Q10"/>
    <mergeCell ref="H2:L2"/>
    <mergeCell ref="S10:Y10"/>
    <mergeCell ref="AA10:AG10"/>
    <mergeCell ref="AL2:AP2"/>
    <mergeCell ref="W48:Y49"/>
    <mergeCell ref="Z48:AB49"/>
    <mergeCell ref="AC48:AC49"/>
    <mergeCell ref="P31:R31"/>
    <mergeCell ref="C19:I19"/>
    <mergeCell ref="C20:AW20"/>
    <mergeCell ref="S30:T30"/>
    <mergeCell ref="K19:Q19"/>
    <mergeCell ref="AQ19:AW19"/>
    <mergeCell ref="AI19:AO19"/>
    <mergeCell ref="AA19:AG19"/>
    <mergeCell ref="S19:Y19"/>
    <mergeCell ref="AT6:AU6"/>
    <mergeCell ref="E30:F30"/>
    <mergeCell ref="G30:H30"/>
    <mergeCell ref="I30:K30"/>
    <mergeCell ref="S29:T29"/>
  </mergeCells>
  <phoneticPr fontId="2" type="noConversion"/>
  <conditionalFormatting sqref="BC23 C10:I17 S21:Y27 AA19:AG19 AI19:AO19 C20 S10:Y17 AI21:AO27 AQ10:AW17 AQ21:AW27 C21:I27 K21:Q27 AQ19:AW19 AI10:AO17 AA10:AG17 K10:Q17 AA21:AG27">
    <cfRule type="cellIs" dxfId="2375" priority="60" operator="equal">
      <formula>$BB$21</formula>
    </cfRule>
    <cfRule type="cellIs" dxfId="2374" priority="61" operator="equal">
      <formula>$BB$20</formula>
    </cfRule>
    <cfRule type="cellIs" dxfId="2373" priority="62" operator="equal">
      <formula>$BB$19</formula>
    </cfRule>
    <cfRule type="cellIs" dxfId="2372" priority="63" operator="equal">
      <formula>$BB$18</formula>
    </cfRule>
    <cfRule type="cellIs" dxfId="2371" priority="64" operator="equal">
      <formula>$BB$17</formula>
    </cfRule>
    <cfRule type="cellIs" dxfId="2370" priority="65" operator="equal">
      <formula>$BB$16</formula>
    </cfRule>
    <cfRule type="cellIs" dxfId="2369" priority="66" operator="equal">
      <formula>$BB$15</formula>
    </cfRule>
    <cfRule type="cellIs" dxfId="2368" priority="67" operator="equal">
      <formula>$BB$14</formula>
    </cfRule>
    <cfRule type="cellIs" dxfId="2367" priority="68" operator="equal">
      <formula>$BB$13</formula>
    </cfRule>
    <cfRule type="cellIs" dxfId="2366" priority="69" operator="equal">
      <formula>$BB$12</formula>
    </cfRule>
    <cfRule type="cellIs" dxfId="2365" priority="70" operator="equal">
      <formula>$BB$11</formula>
    </cfRule>
    <cfRule type="cellIs" dxfId="2364" priority="71" operator="equal">
      <formula>$BB$10</formula>
    </cfRule>
    <cfRule type="cellIs" dxfId="2363" priority="72" operator="equal">
      <formula>$BB$9</formula>
    </cfRule>
    <cfRule type="cellIs" dxfId="2362" priority="73" operator="equal">
      <formula>$BB$8</formula>
    </cfRule>
    <cfRule type="cellIs" dxfId="2361" priority="74" operator="equal">
      <formula>$BB$7</formula>
    </cfRule>
    <cfRule type="cellIs" dxfId="2360" priority="75" operator="equal">
      <formula>$BB$6</formula>
    </cfRule>
    <cfRule type="cellIs" dxfId="2359" priority="76" operator="equal">
      <formula>$AZ$21</formula>
    </cfRule>
    <cfRule type="cellIs" dxfId="2358" priority="79" operator="equal">
      <formula>$AZ$20</formula>
    </cfRule>
    <cfRule type="cellIs" dxfId="2357" priority="80" operator="equal">
      <formula>$AZ$19</formula>
    </cfRule>
    <cfRule type="cellIs" dxfId="2356" priority="81" operator="equal">
      <formula>$AZ$18</formula>
    </cfRule>
    <cfRule type="cellIs" dxfId="2355" priority="82" operator="equal">
      <formula>$AZ$17</formula>
    </cfRule>
    <cfRule type="cellIs" dxfId="2354" priority="83" operator="equal">
      <formula>$AZ$16</formula>
    </cfRule>
    <cfRule type="cellIs" dxfId="2353" priority="84" operator="equal">
      <formula>$AZ$15</formula>
    </cfRule>
    <cfRule type="cellIs" dxfId="2352" priority="85" operator="equal">
      <formula>$AZ$14</formula>
    </cfRule>
    <cfRule type="cellIs" dxfId="2351" priority="86" operator="equal">
      <formula>$AZ$13</formula>
    </cfRule>
    <cfRule type="cellIs" dxfId="2350" priority="87" operator="equal">
      <formula>$AZ$12</formula>
    </cfRule>
    <cfRule type="cellIs" dxfId="2349" priority="88" operator="equal">
      <formula>$AZ$11</formula>
    </cfRule>
    <cfRule type="cellIs" dxfId="2348" priority="89" operator="equal">
      <formula>$AZ$10</formula>
    </cfRule>
    <cfRule type="cellIs" dxfId="2347" priority="90" operator="equal">
      <formula>$AZ$9</formula>
    </cfRule>
    <cfRule type="cellIs" dxfId="2346" priority="91" operator="equal">
      <formula>$AZ$8</formula>
    </cfRule>
    <cfRule type="cellIs" dxfId="2345" priority="92" operator="equal">
      <formula>$AZ$7</formula>
    </cfRule>
    <cfRule type="cellIs" dxfId="2344" priority="93" operator="equal">
      <formula>$AZ$6</formula>
    </cfRule>
    <cfRule type="cellIs" dxfId="2343" priority="94" operator="equal">
      <formula>$S$45</formula>
    </cfRule>
    <cfRule type="cellIs" dxfId="2342" priority="96" operator="equal">
      <formula>$S$44</formula>
    </cfRule>
    <cfRule type="cellIs" dxfId="2341" priority="97" operator="equal">
      <formula>$S$43</formula>
    </cfRule>
    <cfRule type="cellIs" dxfId="2340" priority="98" operator="equal">
      <formula>$S$42</formula>
    </cfRule>
    <cfRule type="cellIs" dxfId="2339" priority="99" operator="equal">
      <formula>$S$41</formula>
    </cfRule>
    <cfRule type="cellIs" dxfId="2338" priority="100" operator="equal">
      <formula>$S$40</formula>
    </cfRule>
    <cfRule type="cellIs" dxfId="2337" priority="101" operator="equal">
      <formula>$S$39</formula>
    </cfRule>
    <cfRule type="cellIs" dxfId="2336" priority="102" operator="equal">
      <formula>$S$38</formula>
    </cfRule>
    <cfRule type="cellIs" dxfId="2335" priority="103" operator="equal">
      <formula>$S$37</formula>
    </cfRule>
    <cfRule type="cellIs" dxfId="2334" priority="104" operator="equal">
      <formula>$S$36</formula>
    </cfRule>
    <cfRule type="cellIs" dxfId="2333" priority="105" operator="equal">
      <formula>$S$35</formula>
    </cfRule>
    <cfRule type="cellIs" dxfId="2332" priority="106" operator="equal">
      <formula>$S$34</formula>
    </cfRule>
    <cfRule type="cellIs" dxfId="2331" priority="107" operator="equal">
      <formula>$S$33</formula>
    </cfRule>
    <cfRule type="cellIs" dxfId="2330" priority="108" operator="equal">
      <formula>$S$32</formula>
    </cfRule>
    <cfRule type="cellIs" dxfId="2329" priority="109" operator="equal">
      <formula>$C$44</formula>
    </cfRule>
    <cfRule type="cellIs" dxfId="2328" priority="110" operator="equal">
      <formula>$C$43</formula>
    </cfRule>
    <cfRule type="cellIs" dxfId="2327" priority="111" operator="equal">
      <formula>$C$42</formula>
    </cfRule>
    <cfRule type="cellIs" dxfId="2326" priority="112" operator="equal">
      <formula>$C$41</formula>
    </cfRule>
    <cfRule type="cellIs" dxfId="2325" priority="113" operator="equal">
      <formula>$C$40</formula>
    </cfRule>
    <cfRule type="cellIs" dxfId="2324" priority="114" operator="equal">
      <formula>$C$39</formula>
    </cfRule>
    <cfRule type="cellIs" dxfId="2323" priority="115" operator="equal">
      <formula>$C$38</formula>
    </cfRule>
    <cfRule type="cellIs" dxfId="2322" priority="116" operator="equal">
      <formula>$C$37</formula>
    </cfRule>
    <cfRule type="cellIs" dxfId="2321" priority="117" operator="equal">
      <formula>$C$36</formula>
    </cfRule>
    <cfRule type="cellIs" dxfId="2320" priority="118" operator="equal">
      <formula>$C$35</formula>
    </cfRule>
    <cfRule type="cellIs" dxfId="2319" priority="119" operator="equal">
      <formula>$C$34</formula>
    </cfRule>
    <cfRule type="cellIs" dxfId="2318" priority="260" operator="equal">
      <formula>$C$33</formula>
    </cfRule>
    <cfRule type="cellIs" dxfId="2317" priority="263" operator="equal">
      <formula>$C$32</formula>
    </cfRule>
  </conditionalFormatting>
  <conditionalFormatting sqref="AH19 C19:I19 R10 K19 R19:Y19">
    <cfRule type="cellIs" dxfId="2316" priority="264" operator="equal">
      <formula>#REF!</formula>
    </cfRule>
    <cfRule type="cellIs" dxfId="2315" priority="265" operator="equal">
      <formula>#REF!</formula>
    </cfRule>
    <cfRule type="cellIs" dxfId="2314" priority="266" operator="equal">
      <formula>#REF!</formula>
    </cfRule>
    <cfRule type="cellIs" dxfId="2313" priority="267" operator="equal">
      <formula>#REF!</formula>
    </cfRule>
    <cfRule type="cellIs" dxfId="2312" priority="268" operator="equal">
      <formula>#REF!</formula>
    </cfRule>
    <cfRule type="cellIs" dxfId="2311" priority="269" operator="between">
      <formula>#REF!</formula>
      <formula>#REF!</formula>
    </cfRule>
    <cfRule type="cellIs" dxfId="2310" priority="270" operator="between">
      <formula>#REF!</formula>
      <formula>#REF!</formula>
    </cfRule>
    <cfRule type="cellIs" dxfId="2309" priority="271" operator="between">
      <formula>#REF!</formula>
      <formula>#REF!</formula>
    </cfRule>
  </conditionalFormatting>
  <conditionalFormatting sqref="C10:I17 S21:Y27 AA19:AG19 AI19:AO19 C20 S10:Y17 AI21:AO27 AQ10:AW17 AQ21:AW27 C21:I27 K21:Q27 AQ19:AW19 AI10:AO17 AA10:AG17 K10:Q17">
    <cfRule type="cellIs" dxfId="2308" priority="5515" operator="equal">
      <formula>$C$40</formula>
    </cfRule>
    <cfRule type="cellIs" dxfId="2307" priority="5516" operator="equal">
      <formula>$C$39</formula>
    </cfRule>
    <cfRule type="cellIs" dxfId="2306" priority="5517" operator="equal">
      <formula>$C$38</formula>
    </cfRule>
    <cfRule type="cellIs" dxfId="2305" priority="5518" operator="equal">
      <formula>$C$37</formula>
    </cfRule>
    <cfRule type="cellIs" dxfId="2304" priority="5519" operator="equal">
      <formula>$C$36</formula>
    </cfRule>
    <cfRule type="cellIs" dxfId="2303" priority="5520" operator="equal">
      <formula>$C$35</formula>
    </cfRule>
    <cfRule type="cellIs" dxfId="2302" priority="5521" operator="equal">
      <formula>$C$34</formula>
    </cfRule>
    <cfRule type="cellIs" dxfId="2301" priority="5522" operator="equal">
      <formula>$C$33</formula>
    </cfRule>
    <cfRule type="cellIs" dxfId="2300" priority="5523" operator="equal">
      <formula>$C$32</formula>
    </cfRule>
    <cfRule type="cellIs" dxfId="2299" priority="5524" operator="equal">
      <formula>#REF!</formula>
    </cfRule>
    <cfRule type="cellIs" dxfId="2298" priority="5525" operator="equal">
      <formula>$BB$22</formula>
    </cfRule>
    <cfRule type="cellIs" dxfId="2297" priority="5526" operator="equal">
      <formula>$BB$21</formula>
    </cfRule>
    <cfRule type="cellIs" dxfId="2296" priority="5527" operator="equal">
      <formula>$BB$20</formula>
    </cfRule>
    <cfRule type="cellIs" dxfId="2295" priority="5528" operator="equal">
      <formula>$BB$19</formula>
    </cfRule>
    <cfRule type="cellIs" dxfId="2294" priority="5529" operator="equal">
      <formula>$BB$18</formula>
    </cfRule>
    <cfRule type="cellIs" dxfId="2293" priority="5530" operator="equal">
      <formula>$BB$17</formula>
    </cfRule>
    <cfRule type="cellIs" dxfId="2292" priority="5531" operator="equal">
      <formula>$BB$14</formula>
    </cfRule>
    <cfRule type="cellIs" dxfId="2291" priority="9674" operator="equal">
      <formula>$BB$13</formula>
    </cfRule>
    <cfRule type="cellIs" dxfId="2290" priority="9675" operator="equal">
      <formula>$BB$12</formula>
    </cfRule>
    <cfRule type="cellIs" dxfId="2289" priority="9676" operator="equal">
      <formula>$BB$11</formula>
    </cfRule>
    <cfRule type="cellIs" dxfId="2288" priority="9677" operator="equal">
      <formula>$BB$10</formula>
    </cfRule>
    <cfRule type="cellIs" dxfId="2287" priority="9678" operator="equal">
      <formula>$BB$9</formula>
    </cfRule>
    <cfRule type="cellIs" dxfId="2286" priority="9679" operator="equal">
      <formula>$BB$8</formula>
    </cfRule>
    <cfRule type="cellIs" dxfId="2285" priority="9680" operator="equal">
      <formula>$BB$7</formula>
    </cfRule>
    <cfRule type="cellIs" dxfId="2284" priority="9681" operator="equal">
      <formula>$BB$6</formula>
    </cfRule>
    <cfRule type="cellIs" dxfId="2283" priority="9682" operator="equal">
      <formula>$AZ$23</formula>
    </cfRule>
    <cfRule type="cellIs" dxfId="2282" priority="9683" operator="equal">
      <formula>#REF!</formula>
    </cfRule>
    <cfRule type="cellIs" dxfId="2281" priority="9684" operator="equal">
      <formula>$AZ$21</formula>
    </cfRule>
    <cfRule type="cellIs" dxfId="2280" priority="9685" operator="equal">
      <formula>$AZ$20</formula>
    </cfRule>
    <cfRule type="cellIs" dxfId="2279" priority="9686" operator="equal">
      <formula>$AZ$19</formula>
    </cfRule>
    <cfRule type="cellIs" dxfId="2278" priority="9687" operator="equal">
      <formula>$AZ$18</formula>
    </cfRule>
    <cfRule type="cellIs" dxfId="2277" priority="9688" operator="equal">
      <formula>$AZ$17</formula>
    </cfRule>
    <cfRule type="cellIs" dxfId="2276" priority="9689" operator="equal">
      <formula>$AZ$14</formula>
    </cfRule>
    <cfRule type="cellIs" dxfId="2275" priority="9690" operator="equal">
      <formula>$AZ$13</formula>
    </cfRule>
    <cfRule type="cellIs" dxfId="2274" priority="9691" operator="equal">
      <formula>$AZ$12</formula>
    </cfRule>
    <cfRule type="cellIs" dxfId="2273" priority="9692" operator="equal">
      <formula>$AZ$11</formula>
    </cfRule>
    <cfRule type="cellIs" dxfId="2272" priority="9693" operator="equal">
      <formula>$AZ$10</formula>
    </cfRule>
    <cfRule type="cellIs" dxfId="2271" priority="9694" operator="equal">
      <formula>$AZ$9</formula>
    </cfRule>
    <cfRule type="cellIs" dxfId="2270" priority="9695" operator="equal">
      <formula>$AZ$8</formula>
    </cfRule>
    <cfRule type="cellIs" dxfId="2269" priority="9696" operator="equal">
      <formula>$AZ$7</formula>
    </cfRule>
    <cfRule type="cellIs" dxfId="2268" priority="9697" operator="equal">
      <formula>$AZ$6</formula>
    </cfRule>
    <cfRule type="cellIs" dxfId="2267" priority="9698" operator="equal">
      <formula>$S$45</formula>
    </cfRule>
    <cfRule type="cellIs" dxfId="2266" priority="9699" operator="equal">
      <formula>$S$44</formula>
    </cfRule>
    <cfRule type="cellIs" dxfId="2265" priority="9700" operator="equal">
      <formula>$S$43</formula>
    </cfRule>
    <cfRule type="cellIs" dxfId="2264" priority="9701" operator="equal">
      <formula>$S$42</formula>
    </cfRule>
    <cfRule type="cellIs" dxfId="2263" priority="9702" operator="equal">
      <formula>$S$41</formula>
    </cfRule>
    <cfRule type="cellIs" dxfId="2262" priority="9703" operator="equal">
      <formula>$S$40</formula>
    </cfRule>
    <cfRule type="cellIs" dxfId="2261" priority="9704" operator="equal">
      <formula>$S$39</formula>
    </cfRule>
    <cfRule type="cellIs" dxfId="2260" priority="9705" operator="equal">
      <formula>$S$38</formula>
    </cfRule>
    <cfRule type="cellIs" dxfId="2259" priority="9706" operator="equal">
      <formula>$S$37</formula>
    </cfRule>
    <cfRule type="cellIs" dxfId="2258" priority="9707" operator="equal">
      <formula>$S$36</formula>
    </cfRule>
    <cfRule type="cellIs" dxfId="2257" priority="9708" operator="equal">
      <formula>$S$35</formula>
    </cfRule>
    <cfRule type="cellIs" dxfId="2256" priority="9709" operator="equal">
      <formula>$S$34</formula>
    </cfRule>
    <cfRule type="cellIs" dxfId="2255" priority="9710" operator="equal">
      <formula>$S$33</formula>
    </cfRule>
    <cfRule type="cellIs" dxfId="2254" priority="9711" operator="equal">
      <formula>$S$32</formula>
    </cfRule>
    <cfRule type="cellIs" dxfId="2253" priority="9712" operator="equal">
      <formula>$C$44</formula>
    </cfRule>
    <cfRule type="cellIs" dxfId="2252" priority="9713" operator="equal">
      <formula>$C$43</formula>
    </cfRule>
    <cfRule type="cellIs" dxfId="2251" priority="9714" operator="equal">
      <formula>$C$42</formula>
    </cfRule>
    <cfRule type="cellIs" dxfId="2250" priority="9715" operator="equal">
      <formula>$C$41</formula>
    </cfRule>
  </conditionalFormatting>
  <conditionalFormatting sqref="C10:I17 S21:Y27 AA19:AG19 AI19:AO19 C20 S10:Y17 AI21:AO27 AQ10:AW17 AQ21:AW27 C21:I27 K21:Q27 AQ19:AW19 AI10:AO17 AA10:AG17 K10:Q17">
    <cfRule type="cellIs" dxfId="2249" priority="7156" operator="equal">
      <formula>$C$40</formula>
    </cfRule>
    <cfRule type="cellIs" dxfId="2248" priority="7157" operator="equal">
      <formula>$C$39</formula>
    </cfRule>
    <cfRule type="cellIs" dxfId="2247" priority="7158" operator="equal">
      <formula>$C$38</formula>
    </cfRule>
    <cfRule type="cellIs" dxfId="2246" priority="7159" operator="equal">
      <formula>$C$37</formula>
    </cfRule>
    <cfRule type="cellIs" dxfId="2245" priority="7160" operator="equal">
      <formula>$C$36</formula>
    </cfRule>
    <cfRule type="cellIs" dxfId="2244" priority="7161" operator="equal">
      <formula>$C$35</formula>
    </cfRule>
    <cfRule type="cellIs" dxfId="2243" priority="7162" operator="equal">
      <formula>$C$34</formula>
    </cfRule>
    <cfRule type="cellIs" dxfId="2242" priority="7163" operator="equal">
      <formula>$C$33</formula>
    </cfRule>
    <cfRule type="cellIs" dxfId="2241" priority="7164" operator="equal">
      <formula>$C$32</formula>
    </cfRule>
    <cfRule type="cellIs" dxfId="2240" priority="7165" operator="equal">
      <formula>$BB$24</formula>
    </cfRule>
    <cfRule type="cellIs" dxfId="2239" priority="7166" operator="equal">
      <formula>$BB$22</formula>
    </cfRule>
    <cfRule type="cellIs" dxfId="2238" priority="7167" operator="equal">
      <formula>$BB$21</formula>
    </cfRule>
    <cfRule type="cellIs" dxfId="2237" priority="7168" operator="equal">
      <formula>$BB$20</formula>
    </cfRule>
    <cfRule type="cellIs" dxfId="2236" priority="7169" operator="equal">
      <formula>$BB$19</formula>
    </cfRule>
    <cfRule type="cellIs" dxfId="2235" priority="7170" operator="equal">
      <formula>$BB$18</formula>
    </cfRule>
    <cfRule type="cellIs" dxfId="2234" priority="7171" operator="equal">
      <formula>$BB$17</formula>
    </cfRule>
    <cfRule type="cellIs" dxfId="2233" priority="7172" operator="equal">
      <formula>$BB$14</formula>
    </cfRule>
    <cfRule type="cellIs" dxfId="2232" priority="10677" operator="equal">
      <formula>$BB$13</formula>
    </cfRule>
    <cfRule type="cellIs" dxfId="2231" priority="10678" operator="equal">
      <formula>$BB$12</formula>
    </cfRule>
    <cfRule type="cellIs" dxfId="2230" priority="10679" operator="equal">
      <formula>$BB$11</formula>
    </cfRule>
    <cfRule type="cellIs" dxfId="2229" priority="10680" operator="equal">
      <formula>$BB$10</formula>
    </cfRule>
    <cfRule type="cellIs" dxfId="2228" priority="10681" operator="equal">
      <formula>$BB$9</formula>
    </cfRule>
    <cfRule type="cellIs" dxfId="2227" priority="10682" operator="equal">
      <formula>$BB$8</formula>
    </cfRule>
    <cfRule type="cellIs" dxfId="2226" priority="10683" operator="equal">
      <formula>$BB$7</formula>
    </cfRule>
    <cfRule type="cellIs" dxfId="2225" priority="10684" operator="equal">
      <formula>$BB$6</formula>
    </cfRule>
    <cfRule type="cellIs" dxfId="2224" priority="10685" operator="equal">
      <formula>$AZ$23</formula>
    </cfRule>
    <cfRule type="cellIs" dxfId="2223" priority="10686" operator="equal">
      <formula>#REF!</formula>
    </cfRule>
    <cfRule type="cellIs" dxfId="2222" priority="10687" operator="equal">
      <formula>$AZ$21</formula>
    </cfRule>
    <cfRule type="cellIs" dxfId="2221" priority="10688" operator="equal">
      <formula>$AZ$20</formula>
    </cfRule>
    <cfRule type="cellIs" dxfId="2220" priority="10689" operator="equal">
      <formula>$AZ$19</formula>
    </cfRule>
    <cfRule type="cellIs" dxfId="2219" priority="10690" operator="equal">
      <formula>$AZ$18</formula>
    </cfRule>
    <cfRule type="cellIs" dxfId="2218" priority="10691" operator="equal">
      <formula>$AZ$17</formula>
    </cfRule>
    <cfRule type="cellIs" dxfId="2217" priority="10692" operator="equal">
      <formula>$AZ$14</formula>
    </cfRule>
    <cfRule type="cellIs" dxfId="2216" priority="10693" operator="equal">
      <formula>$AZ$13</formula>
    </cfRule>
    <cfRule type="cellIs" dxfId="2215" priority="10694" operator="equal">
      <formula>$AZ$12</formula>
    </cfRule>
    <cfRule type="cellIs" dxfId="2214" priority="10695" operator="equal">
      <formula>$AZ$11</formula>
    </cfRule>
    <cfRule type="cellIs" dxfId="2213" priority="10696" operator="equal">
      <formula>$AZ$10</formula>
    </cfRule>
    <cfRule type="cellIs" dxfId="2212" priority="10697" operator="equal">
      <formula>$AZ$9</formula>
    </cfRule>
    <cfRule type="cellIs" dxfId="2211" priority="10698" operator="equal">
      <formula>$AZ$8</formula>
    </cfRule>
    <cfRule type="cellIs" dxfId="2210" priority="10699" operator="equal">
      <formula>$AZ$7</formula>
    </cfRule>
    <cfRule type="cellIs" dxfId="2209" priority="10700" operator="equal">
      <formula>$AZ$6</formula>
    </cfRule>
    <cfRule type="cellIs" dxfId="2208" priority="10701" operator="equal">
      <formula>$S$45</formula>
    </cfRule>
    <cfRule type="cellIs" dxfId="2207" priority="10702" operator="equal">
      <formula>$S$44</formula>
    </cfRule>
    <cfRule type="cellIs" dxfId="2206" priority="10703" operator="equal">
      <formula>$S$43</formula>
    </cfRule>
    <cfRule type="cellIs" dxfId="2205" priority="10704" operator="equal">
      <formula>$S$42</formula>
    </cfRule>
    <cfRule type="cellIs" dxfId="2204" priority="10705" operator="equal">
      <formula>$S$41</formula>
    </cfRule>
    <cfRule type="cellIs" dxfId="2203" priority="10706" operator="equal">
      <formula>$S$40</formula>
    </cfRule>
    <cfRule type="cellIs" dxfId="2202" priority="10707" operator="equal">
      <formula>$S$39</formula>
    </cfRule>
    <cfRule type="cellIs" dxfId="2201" priority="10708" operator="equal">
      <formula>$S$38</formula>
    </cfRule>
    <cfRule type="cellIs" dxfId="2200" priority="10709" operator="equal">
      <formula>$S$37</formula>
    </cfRule>
    <cfRule type="cellIs" dxfId="2199" priority="10710" operator="equal">
      <formula>$S$36</formula>
    </cfRule>
    <cfRule type="cellIs" dxfId="2198" priority="10711" operator="equal">
      <formula>$S$35</formula>
    </cfRule>
    <cfRule type="cellIs" dxfId="2197" priority="10712" operator="equal">
      <formula>$S$34</formula>
    </cfRule>
    <cfRule type="cellIs" dxfId="2196" priority="10713" operator="equal">
      <formula>$S$33</formula>
    </cfRule>
    <cfRule type="cellIs" dxfId="2195" priority="10714" operator="equal">
      <formula>$S$32</formula>
    </cfRule>
    <cfRule type="cellIs" dxfId="2194" priority="10715" operator="equal">
      <formula>$C$44</formula>
    </cfRule>
    <cfRule type="cellIs" dxfId="2193" priority="10716" operator="equal">
      <formula>$C$43</formula>
    </cfRule>
    <cfRule type="cellIs" dxfId="2192" priority="10717" operator="equal">
      <formula>$C$42</formula>
    </cfRule>
    <cfRule type="cellIs" dxfId="2191" priority="10718" operator="equal">
      <formula>$C$41</formula>
    </cfRule>
  </conditionalFormatting>
  <conditionalFormatting sqref="BC23">
    <cfRule type="cellIs" dxfId="2190" priority="10719" operator="equal">
      <formula>$C$40</formula>
    </cfRule>
    <cfRule type="cellIs" dxfId="2189" priority="10719" operator="equal">
      <formula>$C$39</formula>
    </cfRule>
    <cfRule type="cellIs" dxfId="2188" priority="10719" operator="equal">
      <formula>$C$38</formula>
    </cfRule>
    <cfRule type="cellIs" dxfId="2187" priority="10719" operator="equal">
      <formula>$C$37</formula>
    </cfRule>
    <cfRule type="cellIs" dxfId="2186" priority="10719" operator="equal">
      <formula>$C$36</formula>
    </cfRule>
    <cfRule type="cellIs" dxfId="2185" priority="10719" operator="equal">
      <formula>$C$35</formula>
    </cfRule>
    <cfRule type="cellIs" dxfId="2184" priority="10719" operator="equal">
      <formula>$C$34</formula>
    </cfRule>
    <cfRule type="cellIs" dxfId="2183" priority="10719" operator="equal">
      <formula>$C$33</formula>
    </cfRule>
    <cfRule type="cellIs" dxfId="2182" priority="10719" operator="equal">
      <formula>$C$32</formula>
    </cfRule>
    <cfRule type="cellIs" dxfId="2181" priority="10719" operator="equal">
      <formula>#REF!</formula>
    </cfRule>
    <cfRule type="cellIs" dxfId="2180" priority="10719" operator="equal">
      <formula>$BB$23</formula>
    </cfRule>
    <cfRule type="cellIs" dxfId="2179" priority="10719" operator="equal">
      <formula>$BB$21</formula>
    </cfRule>
    <cfRule type="cellIs" dxfId="2178" priority="10719" operator="equal">
      <formula>$BB$20</formula>
    </cfRule>
    <cfRule type="cellIs" dxfId="2177" priority="10719" operator="equal">
      <formula>$BB$19</formula>
    </cfRule>
    <cfRule type="cellIs" dxfId="2176" priority="10719" operator="equal">
      <formula>$BB$18</formula>
    </cfRule>
    <cfRule type="cellIs" dxfId="2175" priority="10719" operator="equal">
      <formula>$BB$17</formula>
    </cfRule>
    <cfRule type="cellIs" dxfId="2174" priority="10719" operator="equal">
      <formula>$BB$14</formula>
    </cfRule>
    <cfRule type="cellIs" dxfId="2173" priority="11610" operator="equal">
      <formula>$BB$13</formula>
    </cfRule>
    <cfRule type="cellIs" dxfId="2172" priority="11611" operator="equal">
      <formula>$BB$12</formula>
    </cfRule>
    <cfRule type="cellIs" dxfId="2171" priority="11612" operator="equal">
      <formula>$BB$11</formula>
    </cfRule>
    <cfRule type="cellIs" dxfId="2170" priority="11613" operator="equal">
      <formula>$BB$10</formula>
    </cfRule>
    <cfRule type="cellIs" dxfId="2169" priority="11614" operator="equal">
      <formula>$BB$9</formula>
    </cfRule>
    <cfRule type="cellIs" dxfId="2168" priority="11615" operator="equal">
      <formula>$BB$8</formula>
    </cfRule>
    <cfRule type="cellIs" dxfId="2167" priority="11616" operator="equal">
      <formula>$BB$7</formula>
    </cfRule>
    <cfRule type="cellIs" dxfId="2166" priority="11617" operator="equal">
      <formula>$BB$6</formula>
    </cfRule>
    <cfRule type="cellIs" dxfId="2165" priority="11618" operator="equal">
      <formula>$AZ$23</formula>
    </cfRule>
    <cfRule type="cellIs" dxfId="2164" priority="11619" operator="equal">
      <formula>#REF!</formula>
    </cfRule>
    <cfRule type="cellIs" dxfId="2163" priority="11620" operator="equal">
      <formula>$AZ$22</formula>
    </cfRule>
    <cfRule type="cellIs" dxfId="2162" priority="11621" operator="equal">
      <formula>$AZ$21</formula>
    </cfRule>
    <cfRule type="cellIs" dxfId="2161" priority="11622" operator="equal">
      <formula>$AZ$20</formula>
    </cfRule>
    <cfRule type="cellIs" dxfId="2160" priority="11623" operator="equal">
      <formula>$AZ$19</formula>
    </cfRule>
    <cfRule type="cellIs" dxfId="2159" priority="11624" operator="equal">
      <formula>$AZ$18</formula>
    </cfRule>
    <cfRule type="cellIs" dxfId="2158" priority="11625" operator="equal">
      <formula>$AZ$14</formula>
    </cfRule>
    <cfRule type="cellIs" dxfId="2157" priority="11626" operator="equal">
      <formula>$AZ$13</formula>
    </cfRule>
    <cfRule type="cellIs" dxfId="2156" priority="11627" operator="equal">
      <formula>$AZ$12</formula>
    </cfRule>
    <cfRule type="cellIs" dxfId="2155" priority="11628" operator="equal">
      <formula>$AZ$11</formula>
    </cfRule>
    <cfRule type="cellIs" dxfId="2154" priority="11629" operator="equal">
      <formula>$AZ$10</formula>
    </cfRule>
    <cfRule type="cellIs" dxfId="2153" priority="11630" operator="equal">
      <formula>$AZ$9</formula>
    </cfRule>
    <cfRule type="cellIs" dxfId="2152" priority="11631" operator="equal">
      <formula>$AZ$8</formula>
    </cfRule>
    <cfRule type="cellIs" dxfId="2151" priority="11632" operator="equal">
      <formula>$AZ$7</formula>
    </cfRule>
    <cfRule type="cellIs" dxfId="2150" priority="11633" operator="equal">
      <formula>$AZ$6</formula>
    </cfRule>
    <cfRule type="cellIs" dxfId="2149" priority="11634" operator="equal">
      <formula>$S$45</formula>
    </cfRule>
    <cfRule type="cellIs" dxfId="2148" priority="11635" operator="equal">
      <formula>$S$44</formula>
    </cfRule>
    <cfRule type="cellIs" dxfId="2147" priority="11636" operator="equal">
      <formula>$S$43</formula>
    </cfRule>
    <cfRule type="cellIs" dxfId="2146" priority="11637" operator="equal">
      <formula>$S$42</formula>
    </cfRule>
    <cfRule type="cellIs" dxfId="2145" priority="11638" operator="equal">
      <formula>$S$41</formula>
    </cfRule>
    <cfRule type="cellIs" dxfId="2144" priority="11639" operator="equal">
      <formula>$S$40</formula>
    </cfRule>
    <cfRule type="cellIs" dxfId="2143" priority="11640" operator="equal">
      <formula>$S$39</formula>
    </cfRule>
    <cfRule type="cellIs" dxfId="2142" priority="11641" operator="equal">
      <formula>$S$38</formula>
    </cfRule>
    <cfRule type="cellIs" dxfId="2141" priority="11642" operator="equal">
      <formula>$S$37</formula>
    </cfRule>
    <cfRule type="cellIs" dxfId="2140" priority="11643" operator="equal">
      <formula>$S$36</formula>
    </cfRule>
    <cfRule type="cellIs" dxfId="2139" priority="11644" operator="equal">
      <formula>$S$35</formula>
    </cfRule>
    <cfRule type="cellIs" dxfId="2138" priority="11645" operator="equal">
      <formula>$S$34</formula>
    </cfRule>
    <cfRule type="cellIs" dxfId="2137" priority="11646" operator="equal">
      <formula>$S$33</formula>
    </cfRule>
    <cfRule type="cellIs" dxfId="2136" priority="11647" operator="equal">
      <formula>$S$32</formula>
    </cfRule>
    <cfRule type="cellIs" dxfId="2135" priority="11648" operator="equal">
      <formula>$C$44</formula>
    </cfRule>
    <cfRule type="cellIs" dxfId="2134" priority="11649" operator="equal">
      <formula>$C$43</formula>
    </cfRule>
    <cfRule type="cellIs" dxfId="2133" priority="11650" operator="equal">
      <formula>$C$42</formula>
    </cfRule>
    <cfRule type="cellIs" dxfId="2132" priority="11651" operator="equal">
      <formula>$C$41</formula>
    </cfRule>
  </conditionalFormatting>
  <conditionalFormatting sqref="BC23">
    <cfRule type="cellIs" dxfId="2131" priority="11652" operator="equal">
      <formula>$C$40</formula>
    </cfRule>
    <cfRule type="cellIs" dxfId="2130" priority="11652" operator="equal">
      <formula>$C$39</formula>
    </cfRule>
    <cfRule type="cellIs" dxfId="2129" priority="11652" operator="equal">
      <formula>$C$38</formula>
    </cfRule>
    <cfRule type="cellIs" dxfId="2128" priority="11652" operator="equal">
      <formula>$C$37</formula>
    </cfRule>
    <cfRule type="cellIs" dxfId="2127" priority="11652" operator="equal">
      <formula>$C$36</formula>
    </cfRule>
    <cfRule type="cellIs" dxfId="2126" priority="11652" operator="equal">
      <formula>$C$35</formula>
    </cfRule>
    <cfRule type="cellIs" dxfId="2125" priority="11652" operator="equal">
      <formula>$C$34</formula>
    </cfRule>
    <cfRule type="cellIs" dxfId="2124" priority="11652" operator="equal">
      <formula>$C$33</formula>
    </cfRule>
    <cfRule type="cellIs" dxfId="2123" priority="11652" operator="equal">
      <formula>$C$32</formula>
    </cfRule>
    <cfRule type="cellIs" dxfId="2122" priority="11652" operator="equal">
      <formula>$BB$24</formula>
    </cfRule>
    <cfRule type="cellIs" dxfId="2121" priority="11652" operator="equal">
      <formula>$BB$23</formula>
    </cfRule>
    <cfRule type="cellIs" dxfId="2120" priority="11652" operator="equal">
      <formula>$BB$21</formula>
    </cfRule>
    <cfRule type="cellIs" dxfId="2119" priority="11652" operator="equal">
      <formula>$BB$20</formula>
    </cfRule>
    <cfRule type="cellIs" dxfId="2118" priority="11652" operator="equal">
      <formula>$BB$19</formula>
    </cfRule>
    <cfRule type="cellIs" dxfId="2117" priority="11652" operator="equal">
      <formula>$BB$18</formula>
    </cfRule>
    <cfRule type="cellIs" dxfId="2116" priority="11652" operator="equal">
      <formula>$BB$17</formula>
    </cfRule>
    <cfRule type="cellIs" dxfId="2115" priority="11652" operator="equal">
      <formula>$BB$14</formula>
    </cfRule>
    <cfRule type="cellIs" dxfId="2114" priority="11728" operator="equal">
      <formula>$BB$13</formula>
    </cfRule>
    <cfRule type="cellIs" dxfId="2113" priority="11729" operator="equal">
      <formula>$BB$12</formula>
    </cfRule>
    <cfRule type="cellIs" dxfId="2112" priority="11730" operator="equal">
      <formula>$BB$11</formula>
    </cfRule>
    <cfRule type="cellIs" dxfId="2111" priority="11731" operator="equal">
      <formula>$BB$10</formula>
    </cfRule>
    <cfRule type="cellIs" dxfId="2110" priority="11732" operator="equal">
      <formula>$BB$9</formula>
    </cfRule>
    <cfRule type="cellIs" dxfId="2109" priority="11733" operator="equal">
      <formula>$BB$8</formula>
    </cfRule>
    <cfRule type="cellIs" dxfId="2108" priority="11734" operator="equal">
      <formula>$BB$7</formula>
    </cfRule>
    <cfRule type="cellIs" dxfId="2107" priority="11735" operator="equal">
      <formula>$BB$6</formula>
    </cfRule>
    <cfRule type="cellIs" dxfId="2106" priority="11736" operator="equal">
      <formula>$AZ$23</formula>
    </cfRule>
    <cfRule type="cellIs" dxfId="2105" priority="11737" operator="equal">
      <formula>#REF!</formula>
    </cfRule>
    <cfRule type="cellIs" dxfId="2104" priority="11738" operator="equal">
      <formula>$AZ$22</formula>
    </cfRule>
    <cfRule type="cellIs" dxfId="2103" priority="11739" operator="equal">
      <formula>$AZ$21</formula>
    </cfRule>
    <cfRule type="cellIs" dxfId="2102" priority="11740" operator="equal">
      <formula>$AZ$20</formula>
    </cfRule>
    <cfRule type="cellIs" dxfId="2101" priority="11741" operator="equal">
      <formula>$AZ$19</formula>
    </cfRule>
    <cfRule type="cellIs" dxfId="2100" priority="11742" operator="equal">
      <formula>$AZ$18</formula>
    </cfRule>
    <cfRule type="cellIs" dxfId="2099" priority="11743" operator="equal">
      <formula>$AZ$14</formula>
    </cfRule>
    <cfRule type="cellIs" dxfId="2098" priority="11744" operator="equal">
      <formula>$AZ$13</formula>
    </cfRule>
    <cfRule type="cellIs" dxfId="2097" priority="11745" operator="equal">
      <formula>$AZ$12</formula>
    </cfRule>
    <cfRule type="cellIs" dxfId="2096" priority="11746" operator="equal">
      <formula>$AZ$11</formula>
    </cfRule>
    <cfRule type="cellIs" dxfId="2095" priority="11747" operator="equal">
      <formula>$AZ$10</formula>
    </cfRule>
    <cfRule type="cellIs" dxfId="2094" priority="11748" operator="equal">
      <formula>$AZ$9</formula>
    </cfRule>
    <cfRule type="cellIs" dxfId="2093" priority="11749" operator="equal">
      <formula>$AZ$8</formula>
    </cfRule>
    <cfRule type="cellIs" dxfId="2092" priority="11750" operator="equal">
      <formula>$AZ$7</formula>
    </cfRule>
    <cfRule type="cellIs" dxfId="2091" priority="11751" operator="equal">
      <formula>$AZ$6</formula>
    </cfRule>
    <cfRule type="cellIs" dxfId="2090" priority="11752" operator="equal">
      <formula>$S$45</formula>
    </cfRule>
    <cfRule type="cellIs" dxfId="2089" priority="11753" operator="equal">
      <formula>$S$44</formula>
    </cfRule>
    <cfRule type="cellIs" dxfId="2088" priority="11754" operator="equal">
      <formula>$S$43</formula>
    </cfRule>
    <cfRule type="cellIs" dxfId="2087" priority="11755" operator="equal">
      <formula>$S$42</formula>
    </cfRule>
    <cfRule type="cellIs" dxfId="2086" priority="11756" operator="equal">
      <formula>$S$41</formula>
    </cfRule>
    <cfRule type="cellIs" dxfId="2085" priority="11757" operator="equal">
      <formula>$S$40</formula>
    </cfRule>
    <cfRule type="cellIs" dxfId="2084" priority="11758" operator="equal">
      <formula>$S$39</formula>
    </cfRule>
    <cfRule type="cellIs" dxfId="2083" priority="11759" operator="equal">
      <formula>$S$38</formula>
    </cfRule>
    <cfRule type="cellIs" dxfId="2082" priority="11760" operator="equal">
      <formula>$S$37</formula>
    </cfRule>
    <cfRule type="cellIs" dxfId="2081" priority="11761" operator="equal">
      <formula>$S$36</formula>
    </cfRule>
    <cfRule type="cellIs" dxfId="2080" priority="11762" operator="equal">
      <formula>$S$35</formula>
    </cfRule>
    <cfRule type="cellIs" dxfId="2079" priority="11763" operator="equal">
      <formula>$S$34</formula>
    </cfRule>
    <cfRule type="cellIs" dxfId="2078" priority="11764" operator="equal">
      <formula>$S$33</formula>
    </cfRule>
    <cfRule type="cellIs" dxfId="2077" priority="11765" operator="equal">
      <formula>$S$32</formula>
    </cfRule>
    <cfRule type="cellIs" dxfId="2076" priority="11766" operator="equal">
      <formula>$C$44</formula>
    </cfRule>
    <cfRule type="cellIs" dxfId="2075" priority="11767" operator="equal">
      <formula>$C$43</formula>
    </cfRule>
    <cfRule type="cellIs" dxfId="2074" priority="11768" operator="equal">
      <formula>$C$42</formula>
    </cfRule>
    <cfRule type="cellIs" dxfId="2073" priority="11769" operator="equal">
      <formula>$C$41</formula>
    </cfRule>
  </conditionalFormatting>
  <conditionalFormatting sqref="C10:I17 S21:Y27 AA19:AG19 AI19:AO19 C20 S10:Y17 AI21:AO27 AQ10:AW17 AQ21:AW27 C21:I27 K21:Q27 AQ19:AW19">
    <cfRule type="cellIs" dxfId="2072" priority="7870" operator="equal">
      <formula>$C$40</formula>
    </cfRule>
    <cfRule type="cellIs" dxfId="2071" priority="7871" operator="equal">
      <formula>$C$39</formula>
    </cfRule>
    <cfRule type="cellIs" dxfId="2070" priority="7872" operator="equal">
      <formula>$C$38</formula>
    </cfRule>
    <cfRule type="cellIs" dxfId="2069" priority="7873" operator="equal">
      <formula>$C$37</formula>
    </cfRule>
    <cfRule type="cellIs" dxfId="2068" priority="7874" operator="equal">
      <formula>$C$36</formula>
    </cfRule>
    <cfRule type="cellIs" dxfId="2067" priority="7875" operator="equal">
      <formula>$C$35</formula>
    </cfRule>
    <cfRule type="cellIs" dxfId="2066" priority="7876" operator="equal">
      <formula>$C$34</formula>
    </cfRule>
    <cfRule type="cellIs" dxfId="2065" priority="7877" operator="equal">
      <formula>$C$33</formula>
    </cfRule>
    <cfRule type="cellIs" dxfId="2064" priority="7878" operator="equal">
      <formula>$C$32</formula>
    </cfRule>
    <cfRule type="cellIs" dxfId="2063" priority="7879" operator="equal">
      <formula>$BB$23</formula>
    </cfRule>
    <cfRule type="cellIs" dxfId="2062" priority="7880" operator="equal">
      <formula>#REF!</formula>
    </cfRule>
    <cfRule type="cellIs" dxfId="2061" priority="7881" operator="equal">
      <formula>$BB$21</formula>
    </cfRule>
    <cfRule type="cellIs" dxfId="2060" priority="7882" operator="equal">
      <formula>$BB$20</formula>
    </cfRule>
    <cfRule type="cellIs" dxfId="2059" priority="7883" operator="equal">
      <formula>$BB$19</formula>
    </cfRule>
    <cfRule type="cellIs" dxfId="2058" priority="7884" operator="equal">
      <formula>$BB$18</formula>
    </cfRule>
    <cfRule type="cellIs" dxfId="2057" priority="7885" operator="equal">
      <formula>$BB$17</formula>
    </cfRule>
    <cfRule type="cellIs" dxfId="2056" priority="7886" operator="equal">
      <formula>$BB$14</formula>
    </cfRule>
    <cfRule type="cellIs" dxfId="2055" priority="11846" operator="equal">
      <formula>$BB$13</formula>
    </cfRule>
    <cfRule type="cellIs" dxfId="2054" priority="11847" operator="equal">
      <formula>$BB$12</formula>
    </cfRule>
    <cfRule type="cellIs" dxfId="2053" priority="11848" operator="equal">
      <formula>$BB$11</formula>
    </cfRule>
    <cfRule type="cellIs" dxfId="2052" priority="11849" operator="equal">
      <formula>$BB$10</formula>
    </cfRule>
    <cfRule type="cellIs" dxfId="2051" priority="11850" operator="equal">
      <formula>$BB$9</formula>
    </cfRule>
    <cfRule type="cellIs" dxfId="2050" priority="11851" operator="equal">
      <formula>$BB$8</formula>
    </cfRule>
    <cfRule type="cellIs" dxfId="2049" priority="11852" operator="equal">
      <formula>$BB$7</formula>
    </cfRule>
    <cfRule type="cellIs" dxfId="2048" priority="11853" operator="equal">
      <formula>$BB$6</formula>
    </cfRule>
    <cfRule type="cellIs" dxfId="2047" priority="11854" operator="equal">
      <formula>$AZ$23</formula>
    </cfRule>
    <cfRule type="cellIs" dxfId="2046" priority="11855" operator="equal">
      <formula>#REF!</formula>
    </cfRule>
    <cfRule type="cellIs" dxfId="2045" priority="11856" operator="equal">
      <formula>$AZ$22</formula>
    </cfRule>
    <cfRule type="cellIs" dxfId="2044" priority="11857" operator="equal">
      <formula>$AZ$21</formula>
    </cfRule>
    <cfRule type="cellIs" dxfId="2043" priority="11858" operator="equal">
      <formula>$AZ$20</formula>
    </cfRule>
    <cfRule type="cellIs" dxfId="2042" priority="11859" operator="equal">
      <formula>$AZ$19</formula>
    </cfRule>
    <cfRule type="cellIs" dxfId="2041" priority="11860" operator="equal">
      <formula>$AZ$18</formula>
    </cfRule>
    <cfRule type="cellIs" dxfId="2040" priority="11861" operator="equal">
      <formula>$AZ$14</formula>
    </cfRule>
    <cfRule type="cellIs" dxfId="2039" priority="11862" operator="equal">
      <formula>$AZ$13</formula>
    </cfRule>
    <cfRule type="cellIs" dxfId="2038" priority="11863" operator="equal">
      <formula>$AZ$12</formula>
    </cfRule>
    <cfRule type="cellIs" dxfId="2037" priority="11864" operator="equal">
      <formula>$AZ$11</formula>
    </cfRule>
    <cfRule type="cellIs" dxfId="2036" priority="11865" operator="equal">
      <formula>$AZ$10</formula>
    </cfRule>
    <cfRule type="cellIs" dxfId="2035" priority="11866" operator="equal">
      <formula>$AZ$9</formula>
    </cfRule>
    <cfRule type="cellIs" dxfId="2034" priority="11867" operator="equal">
      <formula>$AZ$8</formula>
    </cfRule>
    <cfRule type="cellIs" dxfId="2033" priority="11868" operator="equal">
      <formula>$AZ$7</formula>
    </cfRule>
    <cfRule type="cellIs" dxfId="2032" priority="11869" operator="equal">
      <formula>$AZ$6</formula>
    </cfRule>
    <cfRule type="cellIs" dxfId="2031" priority="11870" operator="equal">
      <formula>$S$45</formula>
    </cfRule>
    <cfRule type="cellIs" dxfId="2030" priority="11871" operator="equal">
      <formula>$S$44</formula>
    </cfRule>
    <cfRule type="cellIs" dxfId="2029" priority="11872" operator="equal">
      <formula>$S$43</formula>
    </cfRule>
    <cfRule type="cellIs" dxfId="2028" priority="11873" operator="equal">
      <formula>$S$42</formula>
    </cfRule>
    <cfRule type="cellIs" dxfId="2027" priority="11874" operator="equal">
      <formula>$S$41</formula>
    </cfRule>
    <cfRule type="cellIs" dxfId="2026" priority="11875" operator="equal">
      <formula>$S$40</formula>
    </cfRule>
    <cfRule type="cellIs" dxfId="2025" priority="11876" operator="equal">
      <formula>$S$39</formula>
    </cfRule>
    <cfRule type="cellIs" dxfId="2024" priority="11877" operator="equal">
      <formula>$S$38</formula>
    </cfRule>
    <cfRule type="cellIs" dxfId="2023" priority="11878" operator="equal">
      <formula>$S$37</formula>
    </cfRule>
    <cfRule type="cellIs" dxfId="2022" priority="11879" operator="equal">
      <formula>$S$36</formula>
    </cfRule>
    <cfRule type="cellIs" dxfId="2021" priority="11880" operator="equal">
      <formula>$S$35</formula>
    </cfRule>
    <cfRule type="cellIs" dxfId="2020" priority="11881" operator="equal">
      <formula>$S$34</formula>
    </cfRule>
    <cfRule type="cellIs" dxfId="2019" priority="11882" operator="equal">
      <formula>$S$33</formula>
    </cfRule>
    <cfRule type="cellIs" dxfId="2018" priority="11883" operator="equal">
      <formula>$S$32</formula>
    </cfRule>
    <cfRule type="cellIs" dxfId="2017" priority="11884" operator="equal">
      <formula>$C$44</formula>
    </cfRule>
    <cfRule type="cellIs" dxfId="2016" priority="11885" operator="equal">
      <formula>$C$43</formula>
    </cfRule>
    <cfRule type="cellIs" dxfId="2015" priority="11886" operator="equal">
      <formula>$C$42</formula>
    </cfRule>
    <cfRule type="cellIs" dxfId="2014" priority="11887" operator="equal">
      <formula>$C$41</formula>
    </cfRule>
  </conditionalFormatting>
  <conditionalFormatting sqref="C10:I17 S21:Y27 AA19:AG19 AI19:AO19 C20 S10:Y17 AI21:AO27 AQ10:AW17 AQ21:AW27 C21:I27 K21:Q27 AQ19:AW19 AI10:AO17 AA10:AG17">
    <cfRule type="cellIs" dxfId="2013" priority="8696" operator="equal">
      <formula>$C$40</formula>
    </cfRule>
    <cfRule type="cellIs" dxfId="2012" priority="8697" operator="equal">
      <formula>$C$39</formula>
    </cfRule>
    <cfRule type="cellIs" dxfId="2011" priority="8698" operator="equal">
      <formula>$C$38</formula>
    </cfRule>
    <cfRule type="cellIs" dxfId="2010" priority="8699" operator="equal">
      <formula>$C$37</formula>
    </cfRule>
    <cfRule type="cellIs" dxfId="2009" priority="8700" operator="equal">
      <formula>$C$36</formula>
    </cfRule>
    <cfRule type="cellIs" dxfId="2008" priority="8701" operator="equal">
      <formula>$C$35</formula>
    </cfRule>
    <cfRule type="cellIs" dxfId="2007" priority="8702" operator="equal">
      <formula>$C$34</formula>
    </cfRule>
    <cfRule type="cellIs" dxfId="2006" priority="8703" operator="equal">
      <formula>$C$33</formula>
    </cfRule>
    <cfRule type="cellIs" dxfId="2005" priority="8704" operator="equal">
      <formula>$C$32</formula>
    </cfRule>
    <cfRule type="cellIs" dxfId="2004" priority="8705" operator="equal">
      <formula>#REF!</formula>
    </cfRule>
    <cfRule type="cellIs" dxfId="2003" priority="8706" operator="equal">
      <formula>$BB$23</formula>
    </cfRule>
    <cfRule type="cellIs" dxfId="2002" priority="8707" operator="equal">
      <formula>$BB$21</formula>
    </cfRule>
    <cfRule type="cellIs" dxfId="2001" priority="8708" operator="equal">
      <formula>$BB$20</formula>
    </cfRule>
    <cfRule type="cellIs" dxfId="2000" priority="8709" operator="equal">
      <formula>$BB$19</formula>
    </cfRule>
    <cfRule type="cellIs" dxfId="1999" priority="8710" operator="equal">
      <formula>$BB$18</formula>
    </cfRule>
    <cfRule type="cellIs" dxfId="1998" priority="8711" operator="equal">
      <formula>$BB$17</formula>
    </cfRule>
    <cfRule type="cellIs" dxfId="1997" priority="8712" operator="equal">
      <formula>$BB$14</formula>
    </cfRule>
    <cfRule type="cellIs" dxfId="1996" priority="12672" operator="equal">
      <formula>$BB$13</formula>
    </cfRule>
    <cfRule type="cellIs" dxfId="1995" priority="12673" operator="equal">
      <formula>$BB$12</formula>
    </cfRule>
    <cfRule type="cellIs" dxfId="1994" priority="12674" operator="equal">
      <formula>$BB$11</formula>
    </cfRule>
    <cfRule type="cellIs" dxfId="1993" priority="12675" operator="equal">
      <formula>$BB$10</formula>
    </cfRule>
    <cfRule type="cellIs" dxfId="1992" priority="12676" operator="equal">
      <formula>$BB$9</formula>
    </cfRule>
    <cfRule type="cellIs" dxfId="1991" priority="12677" operator="equal">
      <formula>$BB$8</formula>
    </cfRule>
    <cfRule type="cellIs" dxfId="1990" priority="12678" operator="equal">
      <formula>$BB$7</formula>
    </cfRule>
    <cfRule type="cellIs" dxfId="1989" priority="12679" operator="equal">
      <formula>$BB$6</formula>
    </cfRule>
    <cfRule type="cellIs" dxfId="1988" priority="12680" operator="equal">
      <formula>#REF!</formula>
    </cfRule>
    <cfRule type="cellIs" dxfId="1987" priority="12681" operator="equal">
      <formula>#REF!</formula>
    </cfRule>
    <cfRule type="cellIs" dxfId="1986" priority="12682" operator="equal">
      <formula>$AZ$22</formula>
    </cfRule>
    <cfRule type="cellIs" dxfId="1985" priority="12683" operator="equal">
      <formula>$AZ$21</formula>
    </cfRule>
    <cfRule type="cellIs" dxfId="1984" priority="12684" operator="equal">
      <formula>$AZ$20</formula>
    </cfRule>
    <cfRule type="cellIs" dxfId="1983" priority="12685" operator="equal">
      <formula>$AZ$19</formula>
    </cfRule>
    <cfRule type="cellIs" dxfId="1982" priority="12686" operator="equal">
      <formula>$AZ$18</formula>
    </cfRule>
    <cfRule type="cellIs" dxfId="1981" priority="12687" operator="equal">
      <formula>$AZ$14</formula>
    </cfRule>
    <cfRule type="cellIs" dxfId="1980" priority="12688" operator="equal">
      <formula>$AZ$13</formula>
    </cfRule>
    <cfRule type="cellIs" dxfId="1979" priority="12689" operator="equal">
      <formula>$AZ$12</formula>
    </cfRule>
    <cfRule type="cellIs" dxfId="1978" priority="12690" operator="equal">
      <formula>$AZ$11</formula>
    </cfRule>
    <cfRule type="cellIs" dxfId="1977" priority="12691" operator="equal">
      <formula>$AZ$10</formula>
    </cfRule>
    <cfRule type="cellIs" dxfId="1976" priority="12692" operator="equal">
      <formula>$AZ$9</formula>
    </cfRule>
    <cfRule type="cellIs" dxfId="1975" priority="12693" operator="equal">
      <formula>$AZ$8</formula>
    </cfRule>
    <cfRule type="cellIs" dxfId="1974" priority="12694" operator="equal">
      <formula>$AZ$7</formula>
    </cfRule>
    <cfRule type="cellIs" dxfId="1973" priority="12695" operator="equal">
      <formula>$AZ$6</formula>
    </cfRule>
    <cfRule type="cellIs" dxfId="1972" priority="12696" operator="equal">
      <formula>$S$45</formula>
    </cfRule>
    <cfRule type="cellIs" dxfId="1971" priority="12697" operator="equal">
      <formula>$S$44</formula>
    </cfRule>
    <cfRule type="cellIs" dxfId="1970" priority="12698" operator="equal">
      <formula>$S$43</formula>
    </cfRule>
    <cfRule type="cellIs" dxfId="1969" priority="12699" operator="equal">
      <formula>$S$42</formula>
    </cfRule>
    <cfRule type="cellIs" dxfId="1968" priority="12700" operator="equal">
      <formula>$S$41</formula>
    </cfRule>
    <cfRule type="cellIs" dxfId="1967" priority="12701" operator="equal">
      <formula>$S$40</formula>
    </cfRule>
    <cfRule type="cellIs" dxfId="1966" priority="12702" operator="equal">
      <formula>$S$39</formula>
    </cfRule>
    <cfRule type="cellIs" dxfId="1965" priority="12703" operator="equal">
      <formula>$S$38</formula>
    </cfRule>
    <cfRule type="cellIs" dxfId="1964" priority="12704" operator="equal">
      <formula>$S$37</formula>
    </cfRule>
    <cfRule type="cellIs" dxfId="1963" priority="12705" operator="equal">
      <formula>$S$36</formula>
    </cfRule>
    <cfRule type="cellIs" dxfId="1962" priority="12706" operator="equal">
      <formula>$S$35</formula>
    </cfRule>
    <cfRule type="cellIs" dxfId="1961" priority="12707" operator="equal">
      <formula>$S$34</formula>
    </cfRule>
    <cfRule type="cellIs" dxfId="1960" priority="12708" operator="equal">
      <formula>$S$33</formula>
    </cfRule>
    <cfRule type="cellIs" dxfId="1959" priority="12709" operator="equal">
      <formula>$S$32</formula>
    </cfRule>
    <cfRule type="cellIs" dxfId="1958" priority="12710" operator="equal">
      <formula>$C$44</formula>
    </cfRule>
    <cfRule type="cellIs" dxfId="1957" priority="12711" operator="equal">
      <formula>$C$43</formula>
    </cfRule>
    <cfRule type="cellIs" dxfId="1956" priority="12712" operator="equal">
      <formula>$C$42</formula>
    </cfRule>
    <cfRule type="cellIs" dxfId="1955" priority="12713" operator="equal">
      <formula>$C$41</formula>
    </cfRule>
  </conditionalFormatting>
  <conditionalFormatting sqref="BC23 C10:I17 S21:Y27 AA19:AG19 AI19:AO19 C20 S10:Y17 AI21:AO27 AQ10:AW17 AQ21:AW27 C21:I27 K21:Q27 AQ19:AW19 AI10:AO17 AA10:AG17 K10:Q17 AA21:AG27">
    <cfRule type="cellIs" dxfId="1954" priority="12714" operator="equal">
      <formula>$S$35</formula>
    </cfRule>
    <cfRule type="cellIs" dxfId="1953" priority="12714" operator="equal">
      <formula>$S$34</formula>
    </cfRule>
    <cfRule type="cellIs" dxfId="1952" priority="12714" operator="equal">
      <formula>$S$33</formula>
    </cfRule>
    <cfRule type="cellIs" dxfId="1951" priority="12714" operator="equal">
      <formula>$S$32</formula>
    </cfRule>
    <cfRule type="cellIs" dxfId="1950" priority="12714" operator="equal">
      <formula>$C$44</formula>
    </cfRule>
    <cfRule type="cellIs" dxfId="1949" priority="12714" operator="equal">
      <formula>$C$43</formula>
    </cfRule>
    <cfRule type="cellIs" dxfId="1948" priority="12714" operator="equal">
      <formula>$C$42</formula>
    </cfRule>
    <cfRule type="cellIs" dxfId="1947" priority="12714" operator="equal">
      <formula>$C$41</formula>
    </cfRule>
    <cfRule type="cellIs" dxfId="1946" priority="12714" operator="equal">
      <formula>$C$40</formula>
    </cfRule>
    <cfRule type="cellIs" dxfId="1945" priority="12714" operator="equal">
      <formula>$C$39</formula>
    </cfRule>
    <cfRule type="cellIs" dxfId="1944" priority="12714" operator="equal">
      <formula>$C$38</formula>
    </cfRule>
    <cfRule type="cellIs" dxfId="1943" priority="12714" operator="equal">
      <formula>$C$37</formula>
    </cfRule>
    <cfRule type="cellIs" dxfId="1942" priority="12714" operator="equal">
      <formula>$C$36</formula>
    </cfRule>
    <cfRule type="cellIs" dxfId="1941" priority="12714" operator="equal">
      <formula>$C$35</formula>
    </cfRule>
    <cfRule type="cellIs" dxfId="1940" priority="12714" operator="equal">
      <formula>$C$34</formula>
    </cfRule>
    <cfRule type="cellIs" dxfId="1939" priority="12714" operator="equal">
      <formula>$C$33</formula>
    </cfRule>
    <cfRule type="cellIs" dxfId="1938" priority="12714" operator="equal">
      <formula>$C$32</formula>
    </cfRule>
    <cfRule type="cellIs" dxfId="1937" priority="14389" operator="equal">
      <formula>$BB$21</formula>
    </cfRule>
    <cfRule type="cellIs" dxfId="1936" priority="14390" operator="equal">
      <formula>$BB$20</formula>
    </cfRule>
    <cfRule type="cellIs" dxfId="1935" priority="14391" operator="equal">
      <formula>$BB$19</formula>
    </cfRule>
    <cfRule type="cellIs" dxfId="1934" priority="14392" operator="equal">
      <formula>$BB$18</formula>
    </cfRule>
    <cfRule type="cellIs" dxfId="1933" priority="14393" operator="equal">
      <formula>$BB$17</formula>
    </cfRule>
    <cfRule type="cellIs" dxfId="1932" priority="14394" operator="equal">
      <formula>$BB$16</formula>
    </cfRule>
    <cfRule type="cellIs" dxfId="1931" priority="14395" operator="equal">
      <formula>#REF!</formula>
    </cfRule>
    <cfRule type="cellIs" dxfId="1930" priority="14396" operator="equal">
      <formula>$BB$15</formula>
    </cfRule>
    <cfRule type="cellIs" dxfId="1929" priority="14397" operator="equal">
      <formula>$BB$13</formula>
    </cfRule>
    <cfRule type="cellIs" dxfId="1928" priority="14398" operator="equal">
      <formula>$BB$12</formula>
    </cfRule>
    <cfRule type="cellIs" dxfId="1927" priority="14399" operator="equal">
      <formula>$BB$11</formula>
    </cfRule>
    <cfRule type="cellIs" dxfId="1926" priority="14400" operator="equal">
      <formula>$BB$10</formula>
    </cfRule>
    <cfRule type="cellIs" dxfId="1925" priority="14401" operator="equal">
      <formula>$BB$9</formula>
    </cfRule>
    <cfRule type="cellIs" dxfId="1924" priority="14402" operator="equal">
      <formula>$BB$8</formula>
    </cfRule>
    <cfRule type="cellIs" dxfId="1923" priority="14403" operator="equal">
      <formula>$BB$7</formula>
    </cfRule>
    <cfRule type="cellIs" dxfId="1922" priority="14404" operator="equal">
      <formula>$BB$6</formula>
    </cfRule>
    <cfRule type="cellIs" dxfId="1921" priority="14405" operator="equal">
      <formula>$AZ$21</formula>
    </cfRule>
    <cfRule type="cellIs" dxfId="1920" priority="14406" operator="equal">
      <formula>$AZ$20</formula>
    </cfRule>
    <cfRule type="cellIs" dxfId="1919" priority="14407" operator="equal">
      <formula>$AZ$19</formula>
    </cfRule>
    <cfRule type="cellIs" dxfId="1918" priority="14408" operator="equal">
      <formula>$AZ$18</formula>
    </cfRule>
    <cfRule type="cellIs" dxfId="1917" priority="14409" operator="equal">
      <formula>$AZ$17</formula>
    </cfRule>
    <cfRule type="cellIs" dxfId="1916" priority="14410" operator="equal">
      <formula>$AZ$16</formula>
    </cfRule>
    <cfRule type="cellIs" dxfId="1915" priority="14411" operator="equal">
      <formula>#REF!</formula>
    </cfRule>
    <cfRule type="cellIs" dxfId="1914" priority="14412" operator="equal">
      <formula>$AZ$15</formula>
    </cfRule>
    <cfRule type="cellIs" dxfId="1913" priority="14413" operator="equal">
      <formula>$AZ$13</formula>
    </cfRule>
    <cfRule type="cellIs" dxfId="1912" priority="14414" operator="equal">
      <formula>$AZ$12</formula>
    </cfRule>
    <cfRule type="cellIs" dxfId="1911" priority="14415" operator="equal">
      <formula>$AZ$11</formula>
    </cfRule>
    <cfRule type="cellIs" dxfId="1910" priority="14416" operator="equal">
      <formula>$AZ$10</formula>
    </cfRule>
    <cfRule type="cellIs" dxfId="1909" priority="14417" operator="equal">
      <formula>$AZ$9</formula>
    </cfRule>
    <cfRule type="cellIs" dxfId="1908" priority="14418" operator="equal">
      <formula>$AZ$8</formula>
    </cfRule>
    <cfRule type="cellIs" dxfId="1907" priority="14419" operator="equal">
      <formula>$AZ$7</formula>
    </cfRule>
    <cfRule type="cellIs" dxfId="1906" priority="14420" operator="equal">
      <formula>$AZ$6</formula>
    </cfRule>
    <cfRule type="cellIs" dxfId="1905" priority="14421" operator="equal">
      <formula>$S$45</formula>
    </cfRule>
    <cfRule type="cellIs" dxfId="1904" priority="14422" operator="equal">
      <formula>$S$44</formula>
    </cfRule>
    <cfRule type="cellIs" dxfId="1903" priority="14423" operator="equal">
      <formula>$S$43</formula>
    </cfRule>
    <cfRule type="cellIs" dxfId="1902" priority="14424" operator="equal">
      <formula>$S$42</formula>
    </cfRule>
    <cfRule type="cellIs" dxfId="1901" priority="14425" operator="equal">
      <formula>$S$41</formula>
    </cfRule>
    <cfRule type="cellIs" dxfId="1900" priority="14426" operator="equal">
      <formula>$S$40</formula>
    </cfRule>
    <cfRule type="cellIs" dxfId="1899" priority="14427" operator="equal">
      <formula>$S$39</formula>
    </cfRule>
    <cfRule type="cellIs" dxfId="1898" priority="14428" operator="equal">
      <formula>$S$38</formula>
    </cfRule>
    <cfRule type="cellIs" dxfId="1897" priority="14429" operator="equal">
      <formula>$S$37</formula>
    </cfRule>
    <cfRule type="cellIs" dxfId="1896" priority="14430" operator="equal">
      <formula>$S$36</formula>
    </cfRule>
  </conditionalFormatting>
  <conditionalFormatting sqref="C10:I17 S21:Y27 AA19:AG19 AI19:AO19 C20 S10:Y17 AI21:AO27 AQ10:AW17 AQ21:AW27 C21:I27 K21:Q27 AQ19:AW19 AI10:AO17 AA10:AG17 K10:Q17">
    <cfRule type="cellIs" dxfId="1895" priority="14431" operator="equal">
      <formula>$S$44</formula>
    </cfRule>
    <cfRule type="cellIs" dxfId="1894" priority="14431" operator="equal">
      <formula>$S$43</formula>
    </cfRule>
    <cfRule type="cellIs" dxfId="1893" priority="14431" operator="equal">
      <formula>$S$42</formula>
    </cfRule>
    <cfRule type="cellIs" dxfId="1892" priority="14431" operator="equal">
      <formula>$S$41</formula>
    </cfRule>
    <cfRule type="cellIs" dxfId="1891" priority="14431" operator="equal">
      <formula>$S$40</formula>
    </cfRule>
    <cfRule type="cellIs" dxfId="1890" priority="14431" operator="equal">
      <formula>$S$39</formula>
    </cfRule>
    <cfRule type="cellIs" dxfId="1889" priority="14431" operator="equal">
      <formula>$S$38</formula>
    </cfRule>
    <cfRule type="cellIs" dxfId="1888" priority="14431" operator="equal">
      <formula>$S$37</formula>
    </cfRule>
    <cfRule type="cellIs" dxfId="1887" priority="14431" operator="equal">
      <formula>$S$36</formula>
    </cfRule>
    <cfRule type="cellIs" dxfId="1886" priority="14431" operator="equal">
      <formula>$S$35</formula>
    </cfRule>
    <cfRule type="cellIs" dxfId="1885" priority="14431" operator="equal">
      <formula>$S$34</formula>
    </cfRule>
    <cfRule type="cellIs" dxfId="1884" priority="14431" operator="equal">
      <formula>$S$33</formula>
    </cfRule>
    <cfRule type="cellIs" dxfId="1883" priority="14431" operator="equal">
      <formula>$S$32</formula>
    </cfRule>
    <cfRule type="cellIs" dxfId="1882" priority="14431" operator="equal">
      <formula>$C$44</formula>
    </cfRule>
    <cfRule type="cellIs" dxfId="1881" priority="14431" operator="equal">
      <formula>$C$43</formula>
    </cfRule>
    <cfRule type="cellIs" dxfId="1880" priority="14431" operator="equal">
      <formula>$C$42</formula>
    </cfRule>
    <cfRule type="cellIs" dxfId="1879" priority="14431" operator="equal">
      <formula>$C$41</formula>
    </cfRule>
    <cfRule type="cellIs" dxfId="1878" priority="15103" operator="equal">
      <formula>$C$40</formula>
    </cfRule>
    <cfRule type="cellIs" dxfId="1877" priority="15104" operator="equal">
      <formula>$C$39</formula>
    </cfRule>
    <cfRule type="cellIs" dxfId="1876" priority="15105" operator="equal">
      <formula>$C$38</formula>
    </cfRule>
    <cfRule type="cellIs" dxfId="1875" priority="15106" operator="equal">
      <formula>$C$37</formula>
    </cfRule>
    <cfRule type="cellIs" dxfId="1874" priority="15107" operator="equal">
      <formula>$C$36</formula>
    </cfRule>
    <cfRule type="cellIs" dxfId="1873" priority="15108" operator="equal">
      <formula>$C$35</formula>
    </cfRule>
    <cfRule type="cellIs" dxfId="1872" priority="15109" operator="equal">
      <formula>$C$34</formula>
    </cfRule>
    <cfRule type="cellIs" dxfId="1871" priority="15110" operator="equal">
      <formula>$C$33</formula>
    </cfRule>
    <cfRule type="cellIs" dxfId="1870" priority="15111" operator="equal">
      <formula>$C$32</formula>
    </cfRule>
    <cfRule type="cellIs" dxfId="1869" priority="15112" operator="equal">
      <formula>#REF!</formula>
    </cfRule>
    <cfRule type="cellIs" dxfId="1868" priority="15113" operator="equal">
      <formula>$BB$22</formula>
    </cfRule>
    <cfRule type="cellIs" dxfId="1867" priority="15114" operator="equal">
      <formula>$BB$21</formula>
    </cfRule>
    <cfRule type="cellIs" dxfId="1866" priority="15115" operator="equal">
      <formula>$BB$20</formula>
    </cfRule>
    <cfRule type="cellIs" dxfId="1865" priority="15116" operator="equal">
      <formula>$BB$19</formula>
    </cfRule>
    <cfRule type="cellIs" dxfId="1864" priority="15117" operator="equal">
      <formula>$BB$18</formula>
    </cfRule>
    <cfRule type="cellIs" dxfId="1863" priority="15118" operator="equal">
      <formula>$BB$17</formula>
    </cfRule>
    <cfRule type="cellIs" dxfId="1862" priority="15119" operator="equal">
      <formula>$BB$15</formula>
    </cfRule>
    <cfRule type="cellIs" dxfId="1861" priority="15120" operator="equal">
      <formula>$BB$13</formula>
    </cfRule>
    <cfRule type="cellIs" dxfId="1860" priority="15121" operator="equal">
      <formula>$BB$12</formula>
    </cfRule>
    <cfRule type="cellIs" dxfId="1859" priority="15122" operator="equal">
      <formula>$BB$11</formula>
    </cfRule>
    <cfRule type="cellIs" dxfId="1858" priority="15123" operator="equal">
      <formula>$BB$10</formula>
    </cfRule>
    <cfRule type="cellIs" dxfId="1857" priority="15124" operator="equal">
      <formula>$BB$9</formula>
    </cfRule>
    <cfRule type="cellIs" dxfId="1856" priority="15125" operator="equal">
      <formula>$BB$8</formula>
    </cfRule>
    <cfRule type="cellIs" dxfId="1855" priority="15126" operator="equal">
      <formula>$BB$7</formula>
    </cfRule>
    <cfRule type="cellIs" dxfId="1854" priority="15127" operator="equal">
      <formula>$BB$6</formula>
    </cfRule>
    <cfRule type="cellIs" dxfId="1853" priority="15128" operator="equal">
      <formula>$AZ$23</formula>
    </cfRule>
    <cfRule type="cellIs" dxfId="1852" priority="15129" operator="equal">
      <formula>#REF!</formula>
    </cfRule>
    <cfRule type="cellIs" dxfId="1851" priority="15130" operator="equal">
      <formula>$AZ$21</formula>
    </cfRule>
    <cfRule type="cellIs" dxfId="1850" priority="15131" operator="equal">
      <formula>$AZ$20</formula>
    </cfRule>
    <cfRule type="cellIs" dxfId="1849" priority="15132" operator="equal">
      <formula>$AZ$19</formula>
    </cfRule>
    <cfRule type="cellIs" dxfId="1848" priority="15133" operator="equal">
      <formula>$AZ$18</formula>
    </cfRule>
    <cfRule type="cellIs" dxfId="1847" priority="15134" operator="equal">
      <formula>$AZ$17</formula>
    </cfRule>
    <cfRule type="cellIs" dxfId="1846" priority="15135" operator="equal">
      <formula>$AZ$15</formula>
    </cfRule>
    <cfRule type="cellIs" dxfId="1845" priority="15136" operator="equal">
      <formula>$AZ$13</formula>
    </cfRule>
    <cfRule type="cellIs" dxfId="1844" priority="15137" operator="equal">
      <formula>$AZ$12</formula>
    </cfRule>
    <cfRule type="cellIs" dxfId="1843" priority="15138" operator="equal">
      <formula>$AZ$11</formula>
    </cfRule>
    <cfRule type="cellIs" dxfId="1842" priority="15139" operator="equal">
      <formula>$AZ$10</formula>
    </cfRule>
    <cfRule type="cellIs" dxfId="1841" priority="15140" operator="equal">
      <formula>$AZ$9</formula>
    </cfRule>
    <cfRule type="cellIs" dxfId="1840" priority="15141" operator="equal">
      <formula>$AZ$8</formula>
    </cfRule>
    <cfRule type="cellIs" dxfId="1839" priority="15142" operator="equal">
      <formula>$AZ$7</formula>
    </cfRule>
    <cfRule type="cellIs" dxfId="1838" priority="15143" operator="equal">
      <formula>$AZ$6</formula>
    </cfRule>
    <cfRule type="cellIs" dxfId="1837" priority="15144" operator="equal">
      <formula>$S$45</formula>
    </cfRule>
  </conditionalFormatting>
  <conditionalFormatting sqref="C10:I17 S21:Y27 AA19:AG19 AI19:AO19 C20 S10:Y17 AI21:AO27 AQ10:AW17 AQ21:AW27 C21:I27 K21:Q27 AQ19:AW19 AI10:AO17 AA10:AG17 K10:Q17">
    <cfRule type="cellIs" dxfId="1836" priority="15145" operator="equal">
      <formula>$S$44</formula>
    </cfRule>
    <cfRule type="cellIs" dxfId="1835" priority="15145" operator="equal">
      <formula>$S$43</formula>
    </cfRule>
    <cfRule type="cellIs" dxfId="1834" priority="15145" operator="equal">
      <formula>$S$42</formula>
    </cfRule>
    <cfRule type="cellIs" dxfId="1833" priority="15145" operator="equal">
      <formula>$S$41</formula>
    </cfRule>
    <cfRule type="cellIs" dxfId="1832" priority="15145" operator="equal">
      <formula>$S$40</formula>
    </cfRule>
    <cfRule type="cellIs" dxfId="1831" priority="15145" operator="equal">
      <formula>$S$39</formula>
    </cfRule>
    <cfRule type="cellIs" dxfId="1830" priority="15145" operator="equal">
      <formula>$S$38</formula>
    </cfRule>
    <cfRule type="cellIs" dxfId="1829" priority="15145" operator="equal">
      <formula>$S$37</formula>
    </cfRule>
    <cfRule type="cellIs" dxfId="1828" priority="15145" operator="equal">
      <formula>$S$36</formula>
    </cfRule>
    <cfRule type="cellIs" dxfId="1827" priority="15145" operator="equal">
      <formula>$S$35</formula>
    </cfRule>
    <cfRule type="cellIs" dxfId="1826" priority="15145" operator="equal">
      <formula>$S$34</formula>
    </cfRule>
    <cfRule type="cellIs" dxfId="1825" priority="15145" operator="equal">
      <formula>$S$33</formula>
    </cfRule>
    <cfRule type="cellIs" dxfId="1824" priority="15145" operator="equal">
      <formula>$S$32</formula>
    </cfRule>
    <cfRule type="cellIs" dxfId="1823" priority="15145" operator="equal">
      <formula>$C$44</formula>
    </cfRule>
    <cfRule type="cellIs" dxfId="1822" priority="15145" operator="equal">
      <formula>$C$43</formula>
    </cfRule>
    <cfRule type="cellIs" dxfId="1821" priority="15145" operator="equal">
      <formula>$C$42</formula>
    </cfRule>
    <cfRule type="cellIs" dxfId="1820" priority="15145" operator="equal">
      <formula>$C$41</formula>
    </cfRule>
    <cfRule type="cellIs" dxfId="1819" priority="15733" operator="equal">
      <formula>$C$40</formula>
    </cfRule>
    <cfRule type="cellIs" dxfId="1818" priority="15734" operator="equal">
      <formula>$C$39</formula>
    </cfRule>
    <cfRule type="cellIs" dxfId="1817" priority="15735" operator="equal">
      <formula>$C$38</formula>
    </cfRule>
    <cfRule type="cellIs" dxfId="1816" priority="15736" operator="equal">
      <formula>$C$37</formula>
    </cfRule>
    <cfRule type="cellIs" dxfId="1815" priority="15737" operator="equal">
      <formula>$C$36</formula>
    </cfRule>
    <cfRule type="cellIs" dxfId="1814" priority="15738" operator="equal">
      <formula>$C$35</formula>
    </cfRule>
    <cfRule type="cellIs" dxfId="1813" priority="15739" operator="equal">
      <formula>$C$34</formula>
    </cfRule>
    <cfRule type="cellIs" dxfId="1812" priority="15740" operator="equal">
      <formula>$C$33</formula>
    </cfRule>
    <cfRule type="cellIs" dxfId="1811" priority="15741" operator="equal">
      <formula>$C$32</formula>
    </cfRule>
    <cfRule type="cellIs" dxfId="1810" priority="15742" operator="equal">
      <formula>$BB$24</formula>
    </cfRule>
    <cfRule type="cellIs" dxfId="1809" priority="15743" operator="equal">
      <formula>$BB$22</formula>
    </cfRule>
    <cfRule type="cellIs" dxfId="1808" priority="15744" operator="equal">
      <formula>$BB$21</formula>
    </cfRule>
    <cfRule type="cellIs" dxfId="1807" priority="15745" operator="equal">
      <formula>$BB$20</formula>
    </cfRule>
    <cfRule type="cellIs" dxfId="1806" priority="15746" operator="equal">
      <formula>$BB$19</formula>
    </cfRule>
    <cfRule type="cellIs" dxfId="1805" priority="15747" operator="equal">
      <formula>$BB$18</formula>
    </cfRule>
    <cfRule type="cellIs" dxfId="1804" priority="15748" operator="equal">
      <formula>$BB$17</formula>
    </cfRule>
    <cfRule type="cellIs" dxfId="1803" priority="15749" operator="equal">
      <formula>$BB$15</formula>
    </cfRule>
    <cfRule type="cellIs" dxfId="1802" priority="15750" operator="equal">
      <formula>$BB$13</formula>
    </cfRule>
    <cfRule type="cellIs" dxfId="1801" priority="15751" operator="equal">
      <formula>$BB$12</formula>
    </cfRule>
    <cfRule type="cellIs" dxfId="1800" priority="15752" operator="equal">
      <formula>$BB$11</formula>
    </cfRule>
    <cfRule type="cellIs" dxfId="1799" priority="15753" operator="equal">
      <formula>$BB$10</formula>
    </cfRule>
    <cfRule type="cellIs" dxfId="1798" priority="15754" operator="equal">
      <formula>$BB$9</formula>
    </cfRule>
    <cfRule type="cellIs" dxfId="1797" priority="15755" operator="equal">
      <formula>$BB$8</formula>
    </cfRule>
    <cfRule type="cellIs" dxfId="1796" priority="15756" operator="equal">
      <formula>$BB$7</formula>
    </cfRule>
    <cfRule type="cellIs" dxfId="1795" priority="15757" operator="equal">
      <formula>$BB$6</formula>
    </cfRule>
    <cfRule type="cellIs" dxfId="1794" priority="15758" operator="equal">
      <formula>$AZ$23</formula>
    </cfRule>
    <cfRule type="cellIs" dxfId="1793" priority="15759" operator="equal">
      <formula>#REF!</formula>
    </cfRule>
    <cfRule type="cellIs" dxfId="1792" priority="15760" operator="equal">
      <formula>$AZ$21</formula>
    </cfRule>
    <cfRule type="cellIs" dxfId="1791" priority="15761" operator="equal">
      <formula>$AZ$20</formula>
    </cfRule>
    <cfRule type="cellIs" dxfId="1790" priority="15762" operator="equal">
      <formula>$AZ$19</formula>
    </cfRule>
    <cfRule type="cellIs" dxfId="1789" priority="15763" operator="equal">
      <formula>$AZ$18</formula>
    </cfRule>
    <cfRule type="cellIs" dxfId="1788" priority="15764" operator="equal">
      <formula>$AZ$17</formula>
    </cfRule>
    <cfRule type="cellIs" dxfId="1787" priority="15765" operator="equal">
      <formula>$AZ$15</formula>
    </cfRule>
    <cfRule type="cellIs" dxfId="1786" priority="15766" operator="equal">
      <formula>$AZ$13</formula>
    </cfRule>
    <cfRule type="cellIs" dxfId="1785" priority="15767" operator="equal">
      <formula>$AZ$12</formula>
    </cfRule>
    <cfRule type="cellIs" dxfId="1784" priority="15768" operator="equal">
      <formula>$AZ$11</formula>
    </cfRule>
    <cfRule type="cellIs" dxfId="1783" priority="15769" operator="equal">
      <formula>$AZ$10</formula>
    </cfRule>
    <cfRule type="cellIs" dxfId="1782" priority="15770" operator="equal">
      <formula>$AZ$9</formula>
    </cfRule>
    <cfRule type="cellIs" dxfId="1781" priority="15771" operator="equal">
      <formula>$AZ$8</formula>
    </cfRule>
    <cfRule type="cellIs" dxfId="1780" priority="15772" operator="equal">
      <formula>$AZ$7</formula>
    </cfRule>
    <cfRule type="cellIs" dxfId="1779" priority="15773" operator="equal">
      <formula>$AZ$6</formula>
    </cfRule>
    <cfRule type="cellIs" dxfId="1778" priority="15774" operator="equal">
      <formula>$S$45</formula>
    </cfRule>
  </conditionalFormatting>
  <conditionalFormatting sqref="BC23 C10:I17 S21:Y27 AA19:AG19 AI19:AO19 C20 S10:Y17 AI21:AO27 AQ10:AW17 AQ21:AW27 C21:I27 K21:Q27 AQ19:AW19 AI10:AO17 AA10:AG17 K10:Q17 AA21:AG27">
    <cfRule type="cellIs" dxfId="1777" priority="10744" operator="equal">
      <formula>$AZ$12</formula>
    </cfRule>
    <cfRule type="cellIs" dxfId="1776" priority="10745" operator="equal">
      <formula>$AZ$11</formula>
    </cfRule>
    <cfRule type="cellIs" dxfId="1775" priority="10746" operator="equal">
      <formula>$AZ$10</formula>
    </cfRule>
    <cfRule type="cellIs" dxfId="1774" priority="10747" operator="equal">
      <formula>$AZ$9</formula>
    </cfRule>
    <cfRule type="cellIs" dxfId="1773" priority="10748" operator="equal">
      <formula>$AZ$8</formula>
    </cfRule>
    <cfRule type="cellIs" dxfId="1772" priority="10749" operator="equal">
      <formula>$AZ$7</formula>
    </cfRule>
    <cfRule type="cellIs" dxfId="1771" priority="10750" operator="equal">
      <formula>$AZ$6</formula>
    </cfRule>
    <cfRule type="cellIs" dxfId="1770" priority="10751" operator="equal">
      <formula>$S$45</formula>
    </cfRule>
    <cfRule type="cellIs" dxfId="1769" priority="10752" operator="equal">
      <formula>$S$44</formula>
    </cfRule>
    <cfRule type="cellIs" dxfId="1768" priority="10753" operator="equal">
      <formula>$S$43</formula>
    </cfRule>
    <cfRule type="cellIs" dxfId="1767" priority="10754" operator="equal">
      <formula>$S$42</formula>
    </cfRule>
    <cfRule type="cellIs" dxfId="1766" priority="10755" operator="equal">
      <formula>$S$41</formula>
    </cfRule>
    <cfRule type="cellIs" dxfId="1765" priority="10756" operator="equal">
      <formula>$S$40</formula>
    </cfRule>
    <cfRule type="cellIs" dxfId="1764" priority="10757" operator="equal">
      <formula>$S$39</formula>
    </cfRule>
    <cfRule type="cellIs" dxfId="1763" priority="10758" operator="equal">
      <formula>$S$38</formula>
    </cfRule>
    <cfRule type="cellIs" dxfId="1762" priority="10759" operator="equal">
      <formula>$S$37</formula>
    </cfRule>
    <cfRule type="cellIs" dxfId="1761" priority="10760" operator="equal">
      <formula>$S$36</formula>
    </cfRule>
    <cfRule type="cellIs" dxfId="1760" priority="16363" operator="equal">
      <formula>$S$35</formula>
    </cfRule>
    <cfRule type="cellIs" dxfId="1759" priority="16364" operator="equal">
      <formula>$S$34</formula>
    </cfRule>
    <cfRule type="cellIs" dxfId="1758" priority="16365" operator="equal">
      <formula>$S$33</formula>
    </cfRule>
    <cfRule type="cellIs" dxfId="1757" priority="16366" operator="equal">
      <formula>$S$32</formula>
    </cfRule>
    <cfRule type="cellIs" dxfId="1756" priority="16367" operator="equal">
      <formula>$C$44</formula>
    </cfRule>
    <cfRule type="cellIs" dxfId="1755" priority="16368" operator="equal">
      <formula>$C$43</formula>
    </cfRule>
    <cfRule type="cellIs" dxfId="1754" priority="16369" operator="equal">
      <formula>$C$42</formula>
    </cfRule>
    <cfRule type="cellIs" dxfId="1753" priority="16370" operator="equal">
      <formula>$C$41</formula>
    </cfRule>
    <cfRule type="cellIs" dxfId="1752" priority="16371" operator="equal">
      <formula>$C$40</formula>
    </cfRule>
    <cfRule type="cellIs" dxfId="1751" priority="16372" operator="equal">
      <formula>$C$39</formula>
    </cfRule>
    <cfRule type="cellIs" dxfId="1750" priority="16373" operator="equal">
      <formula>$C$38</formula>
    </cfRule>
    <cfRule type="cellIs" dxfId="1749" priority="16374" operator="equal">
      <formula>$C$37</formula>
    </cfRule>
    <cfRule type="cellIs" dxfId="1748" priority="16375" operator="equal">
      <formula>$C$36</formula>
    </cfRule>
    <cfRule type="cellIs" dxfId="1747" priority="16376" operator="equal">
      <formula>$C$35</formula>
    </cfRule>
    <cfRule type="cellIs" dxfId="1746" priority="16377" operator="equal">
      <formula>$C$34</formula>
    </cfRule>
    <cfRule type="cellIs" dxfId="1745" priority="16378" operator="equal">
      <formula>$C$33</formula>
    </cfRule>
    <cfRule type="cellIs" dxfId="1744" priority="16379" operator="equal">
      <formula>$C$32</formula>
    </cfRule>
    <cfRule type="cellIs" dxfId="1743" priority="16380" operator="equal">
      <formula>$BB$22</formula>
    </cfRule>
    <cfRule type="cellIs" dxfId="1742" priority="16381" operator="equal">
      <formula>$BB$21</formula>
    </cfRule>
    <cfRule type="cellIs" dxfId="1741" priority="16382" operator="equal">
      <formula>$BB$20</formula>
    </cfRule>
    <cfRule type="cellIs" dxfId="1740" priority="16383" operator="equal">
      <formula>$BB$19</formula>
    </cfRule>
    <cfRule type="cellIs" dxfId="1739" priority="16384" operator="equal">
      <formula>$BB$18</formula>
    </cfRule>
    <cfRule type="cellIs" dxfId="1738" priority="16385" operator="equal">
      <formula>$BB$17</formula>
    </cfRule>
    <cfRule type="cellIs" dxfId="1737" priority="16386" operator="equal">
      <formula>$BB$16</formula>
    </cfRule>
    <cfRule type="cellIs" dxfId="1736" priority="16387" operator="equal">
      <formula>$BB$15</formula>
    </cfRule>
    <cfRule type="cellIs" dxfId="1735" priority="16388" operator="equal">
      <formula>$BB$13</formula>
    </cfRule>
    <cfRule type="cellIs" dxfId="1734" priority="16389" operator="equal">
      <formula>$BB$12</formula>
    </cfRule>
    <cfRule type="cellIs" dxfId="1733" priority="16390" operator="equal">
      <formula>$BB$11</formula>
    </cfRule>
    <cfRule type="cellIs" dxfId="1732" priority="16391" operator="equal">
      <formula>$BB$10</formula>
    </cfRule>
    <cfRule type="cellIs" dxfId="1731" priority="16392" operator="equal">
      <formula>$BB$9</formula>
    </cfRule>
    <cfRule type="cellIs" dxfId="1730" priority="16393" operator="equal">
      <formula>$BB$8</formula>
    </cfRule>
    <cfRule type="cellIs" dxfId="1729" priority="16394" operator="equal">
      <formula>$BB$7</formula>
    </cfRule>
    <cfRule type="cellIs" dxfId="1728" priority="16395" operator="equal">
      <formula>$BB$6</formula>
    </cfRule>
    <cfRule type="cellIs" dxfId="1727" priority="16396" operator="equal">
      <formula>$AZ$22</formula>
    </cfRule>
    <cfRule type="cellIs" dxfId="1726" priority="16397" operator="equal">
      <formula>$AZ$21</formula>
    </cfRule>
    <cfRule type="cellIs" dxfId="1725" priority="16398" operator="equal">
      <formula>$AZ$20</formula>
    </cfRule>
    <cfRule type="cellIs" dxfId="1724" priority="16399" operator="equal">
      <formula>$AZ$19</formula>
    </cfRule>
    <cfRule type="cellIs" dxfId="1723" priority="16400" operator="equal">
      <formula>$AZ$18</formula>
    </cfRule>
    <cfRule type="cellIs" dxfId="1722" priority="16401" operator="equal">
      <formula>$AZ$17</formula>
    </cfRule>
    <cfRule type="cellIs" dxfId="1721" priority="16402" operator="equal">
      <formula>$AZ$16</formula>
    </cfRule>
    <cfRule type="cellIs" dxfId="1720" priority="16403" operator="equal">
      <formula>$AZ$15</formula>
    </cfRule>
    <cfRule type="cellIs" dxfId="1719" priority="16404" operator="equal">
      <formula>$AZ$13</formula>
    </cfRule>
  </conditionalFormatting>
  <conditionalFormatting sqref="BC23">
    <cfRule type="cellIs" dxfId="1718" priority="17366" operator="equal">
      <formula>$BB$13</formula>
    </cfRule>
    <cfRule type="cellIs" dxfId="1717" priority="17367" operator="equal">
      <formula>$BB$12</formula>
    </cfRule>
    <cfRule type="cellIs" dxfId="1716" priority="17368" operator="equal">
      <formula>$BB$11</formula>
    </cfRule>
    <cfRule type="cellIs" dxfId="1715" priority="17369" operator="equal">
      <formula>$BB$10</formula>
    </cfRule>
    <cfRule type="cellIs" dxfId="1714" priority="17370" operator="equal">
      <formula>$BB$9</formula>
    </cfRule>
    <cfRule type="cellIs" dxfId="1713" priority="17371" operator="equal">
      <formula>$BB$8</formula>
    </cfRule>
    <cfRule type="cellIs" dxfId="1712" priority="17372" operator="equal">
      <formula>$BB$7</formula>
    </cfRule>
    <cfRule type="cellIs" dxfId="1711" priority="17373" operator="equal">
      <formula>$BB$6</formula>
    </cfRule>
    <cfRule type="cellIs" dxfId="1710" priority="17374" operator="equal">
      <formula>$AZ$23</formula>
    </cfRule>
    <cfRule type="cellIs" dxfId="1709" priority="17375" operator="equal">
      <formula>#REF!</formula>
    </cfRule>
    <cfRule type="cellIs" dxfId="1708" priority="17376" operator="equal">
      <formula>$AZ$21</formula>
    </cfRule>
    <cfRule type="cellIs" dxfId="1707" priority="17377" operator="equal">
      <formula>$AZ$20</formula>
    </cfRule>
    <cfRule type="cellIs" dxfId="1706" priority="17378" operator="equal">
      <formula>$AZ$19</formula>
    </cfRule>
    <cfRule type="cellIs" dxfId="1705" priority="17379" operator="equal">
      <formula>$AZ$18</formula>
    </cfRule>
    <cfRule type="cellIs" dxfId="1704" priority="17380" operator="equal">
      <formula>$AZ$17</formula>
    </cfRule>
    <cfRule type="cellIs" dxfId="1703" priority="17381" operator="equal">
      <formula>$AZ$15</formula>
    </cfRule>
    <cfRule type="cellIs" dxfId="1702" priority="17382" operator="equal">
      <formula>$AZ$13</formula>
    </cfRule>
    <cfRule type="cellIs" dxfId="1701" priority="17383" operator="equal">
      <formula>$AZ$12</formula>
    </cfRule>
    <cfRule type="cellIs" dxfId="1700" priority="17384" operator="equal">
      <formula>$AZ$11</formula>
    </cfRule>
    <cfRule type="cellIs" dxfId="1699" priority="17385" operator="equal">
      <formula>$AZ$10</formula>
    </cfRule>
    <cfRule type="cellIs" dxfId="1698" priority="17386" operator="equal">
      <formula>$AZ$9</formula>
    </cfRule>
    <cfRule type="cellIs" dxfId="1697" priority="17387" operator="equal">
      <formula>$AZ$8</formula>
    </cfRule>
    <cfRule type="cellIs" dxfId="1696" priority="17388" operator="equal">
      <formula>$AZ$7</formula>
    </cfRule>
    <cfRule type="cellIs" dxfId="1695" priority="17389" operator="equal">
      <formula>$AZ$6</formula>
    </cfRule>
    <cfRule type="cellIs" dxfId="1694" priority="17390" operator="equal">
      <formula>$S$45</formula>
    </cfRule>
    <cfRule type="cellIs" dxfId="1693" priority="17391" operator="equal">
      <formula>$S$44</formula>
    </cfRule>
    <cfRule type="cellIs" dxfId="1692" priority="17392" operator="equal">
      <formula>$S$43</formula>
    </cfRule>
    <cfRule type="cellIs" dxfId="1691" priority="17393" operator="equal">
      <formula>$S$42</formula>
    </cfRule>
    <cfRule type="cellIs" dxfId="1690" priority="17394" operator="equal">
      <formula>$S$41</formula>
    </cfRule>
    <cfRule type="cellIs" dxfId="1689" priority="17395" operator="equal">
      <formula>$S$40</formula>
    </cfRule>
    <cfRule type="cellIs" dxfId="1688" priority="17396" operator="equal">
      <formula>$S$39</formula>
    </cfRule>
    <cfRule type="cellIs" dxfId="1687" priority="17397" operator="equal">
      <formula>$S$38</formula>
    </cfRule>
    <cfRule type="cellIs" dxfId="1686" priority="17398" operator="equal">
      <formula>$S$37</formula>
    </cfRule>
    <cfRule type="cellIs" dxfId="1685" priority="17399" operator="equal">
      <formula>$S$36</formula>
    </cfRule>
    <cfRule type="cellIs" dxfId="1684" priority="17400" operator="equal">
      <formula>$S$35</formula>
    </cfRule>
    <cfRule type="cellIs" dxfId="1683" priority="17401" operator="equal">
      <formula>$S$34</formula>
    </cfRule>
    <cfRule type="cellIs" dxfId="1682" priority="17402" operator="equal">
      <formula>$S$33</formula>
    </cfRule>
    <cfRule type="cellIs" dxfId="1681" priority="17403" operator="equal">
      <formula>$S$32</formula>
    </cfRule>
    <cfRule type="cellIs" dxfId="1680" priority="17404" operator="equal">
      <formula>$C$44</formula>
    </cfRule>
    <cfRule type="cellIs" dxfId="1679" priority="17405" operator="equal">
      <formula>$C$43</formula>
    </cfRule>
    <cfRule type="cellIs" dxfId="1678" priority="17406" operator="equal">
      <formula>$C$42</formula>
    </cfRule>
    <cfRule type="cellIs" dxfId="1677" priority="17407" operator="equal">
      <formula>$C$41</formula>
    </cfRule>
    <cfRule type="cellIs" dxfId="1676" priority="17408" operator="equal">
      <formula>$C$40</formula>
    </cfRule>
    <cfRule type="cellIs" dxfId="1675" priority="17409" operator="equal">
      <formula>$C$39</formula>
    </cfRule>
    <cfRule type="cellIs" dxfId="1674" priority="17410" operator="equal">
      <formula>$C$38</formula>
    </cfRule>
    <cfRule type="cellIs" dxfId="1673" priority="17411" operator="equal">
      <formula>$C$37</formula>
    </cfRule>
    <cfRule type="cellIs" dxfId="1672" priority="17412" operator="equal">
      <formula>$C$36</formula>
    </cfRule>
    <cfRule type="cellIs" dxfId="1671" priority="17413" operator="equal">
      <formula>$C$35</formula>
    </cfRule>
    <cfRule type="cellIs" dxfId="1670" priority="17414" operator="equal">
      <formula>$C$34</formula>
    </cfRule>
    <cfRule type="cellIs" dxfId="1669" priority="17415" operator="equal">
      <formula>$C$33</formula>
    </cfRule>
    <cfRule type="cellIs" dxfId="1668" priority="17416" operator="equal">
      <formula>$C$32</formula>
    </cfRule>
    <cfRule type="cellIs" dxfId="1667" priority="17417" operator="equal">
      <formula>#REF!</formula>
    </cfRule>
    <cfRule type="cellIs" dxfId="1666" priority="17418" operator="equal">
      <formula>$BB$23</formula>
    </cfRule>
    <cfRule type="cellIs" dxfId="1665" priority="17419" operator="equal">
      <formula>$BB$22</formula>
    </cfRule>
    <cfRule type="cellIs" dxfId="1664" priority="17420" operator="equal">
      <formula>$BB$21</formula>
    </cfRule>
    <cfRule type="cellIs" dxfId="1663" priority="17421" operator="equal">
      <formula>$BB$20</formula>
    </cfRule>
    <cfRule type="cellIs" dxfId="1662" priority="17422" operator="equal">
      <formula>$BB$19</formula>
    </cfRule>
    <cfRule type="cellIs" dxfId="1661" priority="17423" operator="equal">
      <formula>$BB$18</formula>
    </cfRule>
    <cfRule type="cellIs" dxfId="1660" priority="17424" operator="equal">
      <formula>$BB$15</formula>
    </cfRule>
  </conditionalFormatting>
  <conditionalFormatting sqref="AA21:AG27">
    <cfRule type="cellIs" dxfId="1659" priority="17425" operator="equal">
      <formula>$AZ$12</formula>
    </cfRule>
    <cfRule type="cellIs" dxfId="1658" priority="17426" operator="equal">
      <formula>$AZ$11</formula>
    </cfRule>
    <cfRule type="cellIs" dxfId="1657" priority="17427" operator="equal">
      <formula>$AZ$10</formula>
    </cfRule>
    <cfRule type="cellIs" dxfId="1656" priority="17428" operator="equal">
      <formula>$AZ$9</formula>
    </cfRule>
    <cfRule type="cellIs" dxfId="1655" priority="17429" operator="equal">
      <formula>$AZ$8</formula>
    </cfRule>
    <cfRule type="cellIs" dxfId="1654" priority="17430" operator="equal">
      <formula>$AZ$7</formula>
    </cfRule>
    <cfRule type="cellIs" dxfId="1653" priority="17431" operator="equal">
      <formula>$AZ$6</formula>
    </cfRule>
    <cfRule type="cellIs" dxfId="1652" priority="17432" operator="equal">
      <formula>$S$45</formula>
    </cfRule>
    <cfRule type="cellIs" dxfId="1651" priority="17433" operator="equal">
      <formula>$S$44</formula>
    </cfRule>
    <cfRule type="cellIs" dxfId="1650" priority="17434" operator="equal">
      <formula>$S$43</formula>
    </cfRule>
    <cfRule type="cellIs" dxfId="1649" priority="17435" operator="equal">
      <formula>$S$42</formula>
    </cfRule>
    <cfRule type="cellIs" dxfId="1648" priority="17436" operator="equal">
      <formula>$S$41</formula>
    </cfRule>
    <cfRule type="cellIs" dxfId="1647" priority="17437" operator="equal">
      <formula>$S$40</formula>
    </cfRule>
    <cfRule type="cellIs" dxfId="1646" priority="17438" operator="equal">
      <formula>$S$39</formula>
    </cfRule>
    <cfRule type="cellIs" dxfId="1645" priority="17439" operator="equal">
      <formula>$S$38</formula>
    </cfRule>
    <cfRule type="cellIs" dxfId="1644" priority="17440" operator="equal">
      <formula>$S$37</formula>
    </cfRule>
    <cfRule type="cellIs" dxfId="1643" priority="17441" operator="equal">
      <formula>$S$36</formula>
    </cfRule>
    <cfRule type="cellIs" dxfId="1642" priority="17442" operator="equal">
      <formula>$S$35</formula>
    </cfRule>
    <cfRule type="cellIs" dxfId="1641" priority="17443" operator="equal">
      <formula>$S$34</formula>
    </cfRule>
    <cfRule type="cellIs" dxfId="1640" priority="17444" operator="equal">
      <formula>$S$33</formula>
    </cfRule>
    <cfRule type="cellIs" dxfId="1639" priority="17445" operator="equal">
      <formula>$S$32</formula>
    </cfRule>
    <cfRule type="cellIs" dxfId="1638" priority="17446" operator="equal">
      <formula>$C$44</formula>
    </cfRule>
    <cfRule type="cellIs" dxfId="1637" priority="17447" operator="equal">
      <formula>$C$43</formula>
    </cfRule>
    <cfRule type="cellIs" dxfId="1636" priority="17448" operator="equal">
      <formula>$C$42</formula>
    </cfRule>
    <cfRule type="cellIs" dxfId="1635" priority="17449" operator="equal">
      <formula>$C$41</formula>
    </cfRule>
    <cfRule type="cellIs" dxfId="1634" priority="17450" operator="equal">
      <formula>$C$40</formula>
    </cfRule>
    <cfRule type="cellIs" dxfId="1633" priority="17451" operator="equal">
      <formula>$C$39</formula>
    </cfRule>
    <cfRule type="cellIs" dxfId="1632" priority="17452" operator="equal">
      <formula>$C$38</formula>
    </cfRule>
    <cfRule type="cellIs" dxfId="1631" priority="17453" operator="equal">
      <formula>$C$37</formula>
    </cfRule>
    <cfRule type="cellIs" dxfId="1630" priority="17454" operator="equal">
      <formula>$C$36</formula>
    </cfRule>
    <cfRule type="cellIs" dxfId="1629" priority="17455" operator="equal">
      <formula>$C$35</formula>
    </cfRule>
    <cfRule type="cellIs" dxfId="1628" priority="17456" operator="equal">
      <formula>$C$34</formula>
    </cfRule>
    <cfRule type="cellIs" dxfId="1627" priority="17457" operator="equal">
      <formula>$C$33</formula>
    </cfRule>
    <cfRule type="cellIs" dxfId="1626" priority="17458" operator="equal">
      <formula>$C$32</formula>
    </cfRule>
    <cfRule type="cellIs" dxfId="1625" priority="17459" operator="equal">
      <formula>#REF!</formula>
    </cfRule>
    <cfRule type="cellIs" dxfId="1624" priority="17460" operator="equal">
      <formula>$BB$23</formula>
    </cfRule>
    <cfRule type="cellIs" dxfId="1623" priority="17461" operator="equal">
      <formula>$BB$22</formula>
    </cfRule>
    <cfRule type="cellIs" dxfId="1622" priority="17462" operator="equal">
      <formula>$BB$21</formula>
    </cfRule>
    <cfRule type="cellIs" dxfId="1621" priority="17463" operator="equal">
      <formula>$BB$20</formula>
    </cfRule>
    <cfRule type="cellIs" dxfId="1620" priority="17464" operator="equal">
      <formula>$BB$19</formula>
    </cfRule>
    <cfRule type="cellIs" dxfId="1619" priority="17465" operator="equal">
      <formula>$BB$18</formula>
    </cfRule>
    <cfRule type="cellIs" dxfId="1618" priority="17466" operator="equal">
      <formula>$BB$15</formula>
    </cfRule>
    <cfRule type="cellIs" dxfId="1617" priority="17467" operator="equal">
      <formula>$BB$13</formula>
    </cfRule>
    <cfRule type="cellIs" dxfId="1616" priority="17468" operator="equal">
      <formula>$BB$12</formula>
    </cfRule>
    <cfRule type="cellIs" dxfId="1615" priority="17469" operator="equal">
      <formula>$BB$11</formula>
    </cfRule>
    <cfRule type="cellIs" dxfId="1614" priority="17470" operator="equal">
      <formula>$BB$10</formula>
    </cfRule>
    <cfRule type="cellIs" dxfId="1613" priority="17471" operator="equal">
      <formula>$BB$9</formula>
    </cfRule>
    <cfRule type="cellIs" dxfId="1612" priority="17472" operator="equal">
      <formula>$BB$8</formula>
    </cfRule>
    <cfRule type="cellIs" dxfId="1611" priority="17473" operator="equal">
      <formula>$BB$7</formula>
    </cfRule>
    <cfRule type="cellIs" dxfId="1610" priority="17474" operator="equal">
      <formula>$BB$6</formula>
    </cfRule>
    <cfRule type="cellIs" dxfId="1609" priority="17475" operator="equal">
      <formula>$AZ$23</formula>
    </cfRule>
    <cfRule type="cellIs" dxfId="1608" priority="17476" operator="equal">
      <formula>#REF!</formula>
    </cfRule>
    <cfRule type="cellIs" dxfId="1607" priority="17477" operator="equal">
      <formula>$AZ$22</formula>
    </cfRule>
    <cfRule type="cellIs" dxfId="1606" priority="17478" operator="equal">
      <formula>$AZ$21</formula>
    </cfRule>
    <cfRule type="cellIs" dxfId="1605" priority="17479" operator="equal">
      <formula>$AZ$20</formula>
    </cfRule>
    <cfRule type="cellIs" dxfId="1604" priority="17480" operator="equal">
      <formula>$AZ$19</formula>
    </cfRule>
    <cfRule type="cellIs" dxfId="1603" priority="17481" operator="equal">
      <formula>$AZ$18</formula>
    </cfRule>
    <cfRule type="cellIs" dxfId="1602" priority="17482" operator="equal">
      <formula>$AZ$15</formula>
    </cfRule>
    <cfRule type="cellIs" dxfId="1601" priority="17483" operator="equal">
      <formula>$AZ$13</formula>
    </cfRule>
  </conditionalFormatting>
  <conditionalFormatting sqref="BC23 AA10:AG17">
    <cfRule type="cellIs" dxfId="1600" priority="17484" operator="equal">
      <formula>$AZ$12</formula>
    </cfRule>
    <cfRule type="cellIs" dxfId="1599" priority="17485" operator="equal">
      <formula>$AZ$11</formula>
    </cfRule>
    <cfRule type="cellIs" dxfId="1598" priority="17486" operator="equal">
      <formula>$AZ$10</formula>
    </cfRule>
    <cfRule type="cellIs" dxfId="1597" priority="17487" operator="equal">
      <formula>$AZ$9</formula>
    </cfRule>
    <cfRule type="cellIs" dxfId="1596" priority="17488" operator="equal">
      <formula>$AZ$8</formula>
    </cfRule>
    <cfRule type="cellIs" dxfId="1595" priority="17489" operator="equal">
      <formula>$AZ$7</formula>
    </cfRule>
    <cfRule type="cellIs" dxfId="1594" priority="17490" operator="equal">
      <formula>$AZ$6</formula>
    </cfRule>
    <cfRule type="cellIs" dxfId="1593" priority="17491" operator="equal">
      <formula>$S$45</formula>
    </cfRule>
    <cfRule type="cellIs" dxfId="1592" priority="17492" operator="equal">
      <formula>$S$44</formula>
    </cfRule>
    <cfRule type="cellIs" dxfId="1591" priority="17493" operator="equal">
      <formula>$S$43</formula>
    </cfRule>
    <cfRule type="cellIs" dxfId="1590" priority="17494" operator="equal">
      <formula>$S$42</formula>
    </cfRule>
    <cfRule type="cellIs" dxfId="1589" priority="17495" operator="equal">
      <formula>$S$41</formula>
    </cfRule>
    <cfRule type="cellIs" dxfId="1588" priority="17496" operator="equal">
      <formula>$S$40</formula>
    </cfRule>
    <cfRule type="cellIs" dxfId="1587" priority="17497" operator="equal">
      <formula>$S$39</formula>
    </cfRule>
    <cfRule type="cellIs" dxfId="1586" priority="17498" operator="equal">
      <formula>$S$38</formula>
    </cfRule>
    <cfRule type="cellIs" dxfId="1585" priority="17499" operator="equal">
      <formula>$S$37</formula>
    </cfRule>
    <cfRule type="cellIs" dxfId="1584" priority="17500" operator="equal">
      <formula>$S$36</formula>
    </cfRule>
    <cfRule type="cellIs" dxfId="1583" priority="17501" operator="equal">
      <formula>$S$35</formula>
    </cfRule>
    <cfRule type="cellIs" dxfId="1582" priority="17502" operator="equal">
      <formula>$S$34</formula>
    </cfRule>
    <cfRule type="cellIs" dxfId="1581" priority="17503" operator="equal">
      <formula>$S$33</formula>
    </cfRule>
    <cfRule type="cellIs" dxfId="1580" priority="17504" operator="equal">
      <formula>$S$32</formula>
    </cfRule>
    <cfRule type="cellIs" dxfId="1579" priority="17505" operator="equal">
      <formula>$C$44</formula>
    </cfRule>
    <cfRule type="cellIs" dxfId="1578" priority="17506" operator="equal">
      <formula>$C$43</formula>
    </cfRule>
    <cfRule type="cellIs" dxfId="1577" priority="17507" operator="equal">
      <formula>$C$42</formula>
    </cfRule>
    <cfRule type="cellIs" dxfId="1576" priority="17508" operator="equal">
      <formula>$C$41</formula>
    </cfRule>
    <cfRule type="cellIs" dxfId="1575" priority="17509" operator="equal">
      <formula>$C$40</formula>
    </cfRule>
    <cfRule type="cellIs" dxfId="1574" priority="17510" operator="equal">
      <formula>$C$39</formula>
    </cfRule>
    <cfRule type="cellIs" dxfId="1573" priority="17511" operator="equal">
      <formula>$C$38</formula>
    </cfRule>
    <cfRule type="cellIs" dxfId="1572" priority="17512" operator="equal">
      <formula>$C$37</formula>
    </cfRule>
    <cfRule type="cellIs" dxfId="1571" priority="17513" operator="equal">
      <formula>$C$36</formula>
    </cfRule>
    <cfRule type="cellIs" dxfId="1570" priority="17514" operator="equal">
      <formula>$C$35</formula>
    </cfRule>
    <cfRule type="cellIs" dxfId="1569" priority="17515" operator="equal">
      <formula>$C$34</formula>
    </cfRule>
    <cfRule type="cellIs" dxfId="1568" priority="17516" operator="equal">
      <formula>$C$33</formula>
    </cfRule>
    <cfRule type="cellIs" dxfId="1567" priority="17517" operator="equal">
      <formula>$C$32</formula>
    </cfRule>
    <cfRule type="cellIs" dxfId="1566" priority="17518" operator="equal">
      <formula>$BB$23</formula>
    </cfRule>
    <cfRule type="cellIs" dxfId="1565" priority="17519" operator="equal">
      <formula>#REF!</formula>
    </cfRule>
    <cfRule type="cellIs" dxfId="1564" priority="17520" operator="equal">
      <formula>$BB$22</formula>
    </cfRule>
    <cfRule type="cellIs" dxfId="1563" priority="17521" operator="equal">
      <formula>$BB$21</formula>
    </cfRule>
    <cfRule type="cellIs" dxfId="1562" priority="17522" operator="equal">
      <formula>$BB$20</formula>
    </cfRule>
    <cfRule type="cellIs" dxfId="1561" priority="17523" operator="equal">
      <formula>$BB$19</formula>
    </cfRule>
    <cfRule type="cellIs" dxfId="1560" priority="17524" operator="equal">
      <formula>$BB$18</formula>
    </cfRule>
    <cfRule type="cellIs" dxfId="1559" priority="17525" operator="equal">
      <formula>$BB$15</formula>
    </cfRule>
    <cfRule type="cellIs" dxfId="1558" priority="17526" operator="equal">
      <formula>$BB$13</formula>
    </cfRule>
    <cfRule type="cellIs" dxfId="1557" priority="17527" operator="equal">
      <formula>$BB$12</formula>
    </cfRule>
    <cfRule type="cellIs" dxfId="1556" priority="17528" operator="equal">
      <formula>$BB$11</formula>
    </cfRule>
    <cfRule type="cellIs" dxfId="1555" priority="17529" operator="equal">
      <formula>$BB$10</formula>
    </cfRule>
    <cfRule type="cellIs" dxfId="1554" priority="17530" operator="equal">
      <formula>$BB$9</formula>
    </cfRule>
    <cfRule type="cellIs" dxfId="1553" priority="17531" operator="equal">
      <formula>$BB$8</formula>
    </cfRule>
    <cfRule type="cellIs" dxfId="1552" priority="17532" operator="equal">
      <formula>$BB$7</formula>
    </cfRule>
    <cfRule type="cellIs" dxfId="1551" priority="17533" operator="equal">
      <formula>$BB$6</formula>
    </cfRule>
    <cfRule type="cellIs" dxfId="1550" priority="17534" operator="equal">
      <formula>#REF!</formula>
    </cfRule>
    <cfRule type="cellIs" dxfId="1549" priority="17535" operator="equal">
      <formula>$AZ$23</formula>
    </cfRule>
    <cfRule type="cellIs" dxfId="1548" priority="17536" operator="equal">
      <formula>$AZ$22</formula>
    </cfRule>
    <cfRule type="cellIs" dxfId="1547" priority="17537" operator="equal">
      <formula>$AZ$21</formula>
    </cfRule>
    <cfRule type="cellIs" dxfId="1546" priority="17538" operator="equal">
      <formula>$AZ$20</formula>
    </cfRule>
    <cfRule type="cellIs" dxfId="1545" priority="17539" operator="equal">
      <formula>$AZ$19</formula>
    </cfRule>
    <cfRule type="cellIs" dxfId="1544" priority="17540" operator="equal">
      <formula>$AZ$18</formula>
    </cfRule>
    <cfRule type="cellIs" dxfId="1543" priority="17541" operator="equal">
      <formula>$AZ$15</formula>
    </cfRule>
    <cfRule type="cellIs" dxfId="1542" priority="17542" operator="equal">
      <formula>$AZ$13</formula>
    </cfRule>
  </conditionalFormatting>
  <conditionalFormatting sqref="BC23">
    <cfRule type="cellIs" dxfId="1541" priority="17543" operator="equal">
      <formula>$S$44</formula>
    </cfRule>
    <cfRule type="cellIs" dxfId="1540" priority="17543" operator="equal">
      <formula>$S$43</formula>
    </cfRule>
    <cfRule type="cellIs" dxfId="1539" priority="17543" operator="equal">
      <formula>$S$42</formula>
    </cfRule>
    <cfRule type="cellIs" dxfId="1538" priority="17543" operator="equal">
      <formula>$S$41</formula>
    </cfRule>
    <cfRule type="cellIs" dxfId="1537" priority="17543" operator="equal">
      <formula>$S$40</formula>
    </cfRule>
    <cfRule type="cellIs" dxfId="1536" priority="17543" operator="equal">
      <formula>$S$39</formula>
    </cfRule>
    <cfRule type="cellIs" dxfId="1535" priority="17543" operator="equal">
      <formula>$S$38</formula>
    </cfRule>
    <cfRule type="cellIs" dxfId="1534" priority="17543" operator="equal">
      <formula>$S$37</formula>
    </cfRule>
    <cfRule type="cellIs" dxfId="1533" priority="17543" operator="equal">
      <formula>$S$36</formula>
    </cfRule>
    <cfRule type="cellIs" dxfId="1532" priority="17543" operator="equal">
      <formula>$S$35</formula>
    </cfRule>
    <cfRule type="cellIs" dxfId="1531" priority="17543" operator="equal">
      <formula>$S$34</formula>
    </cfRule>
    <cfRule type="cellIs" dxfId="1530" priority="17543" operator="equal">
      <formula>$S$33</formula>
    </cfRule>
    <cfRule type="cellIs" dxfId="1529" priority="17543" operator="equal">
      <formula>$S$32</formula>
    </cfRule>
    <cfRule type="cellIs" dxfId="1528" priority="17543" operator="equal">
      <formula>$C$44</formula>
    </cfRule>
    <cfRule type="cellIs" dxfId="1527" priority="17543" operator="equal">
      <formula>$C$43</formula>
    </cfRule>
    <cfRule type="cellIs" dxfId="1526" priority="17543" operator="equal">
      <formula>$C$42</formula>
    </cfRule>
    <cfRule type="cellIs" dxfId="1525" priority="17543" operator="equal">
      <formula>$C$41</formula>
    </cfRule>
    <cfRule type="cellIs" dxfId="1524" priority="17543" operator="equal">
      <formula>$C$40</formula>
    </cfRule>
    <cfRule type="cellIs" dxfId="1523" priority="17544" operator="equal">
      <formula>$C$39</formula>
    </cfRule>
    <cfRule type="cellIs" dxfId="1522" priority="17545" operator="equal">
      <formula>$C$38</formula>
    </cfRule>
    <cfRule type="cellIs" dxfId="1521" priority="17546" operator="equal">
      <formula>$C$37</formula>
    </cfRule>
    <cfRule type="cellIs" dxfId="1520" priority="17547" operator="equal">
      <formula>$C$36</formula>
    </cfRule>
    <cfRule type="cellIs" dxfId="1519" priority="17548" operator="equal">
      <formula>$C$35</formula>
    </cfRule>
    <cfRule type="cellIs" dxfId="1518" priority="17549" operator="equal">
      <formula>$C$34</formula>
    </cfRule>
    <cfRule type="cellIs" dxfId="1517" priority="17550" operator="equal">
      <formula>$C$33</formula>
    </cfRule>
    <cfRule type="cellIs" dxfId="1516" priority="17551" operator="equal">
      <formula>$C$32</formula>
    </cfRule>
    <cfRule type="cellIs" dxfId="1515" priority="17552" operator="equal">
      <formula>#REF!</formula>
    </cfRule>
    <cfRule type="cellIs" dxfId="1514" priority="17553" operator="equal">
      <formula>$BB$23</formula>
    </cfRule>
    <cfRule type="cellIs" dxfId="1513" priority="17554" operator="equal">
      <formula>$BB$21</formula>
    </cfRule>
    <cfRule type="cellIs" dxfId="1512" priority="17555" operator="equal">
      <formula>$BB$20</formula>
    </cfRule>
    <cfRule type="cellIs" dxfId="1511" priority="17556" operator="equal">
      <formula>$BB$19</formula>
    </cfRule>
    <cfRule type="cellIs" dxfId="1510" priority="17557" operator="equal">
      <formula>$BB$18</formula>
    </cfRule>
    <cfRule type="cellIs" dxfId="1509" priority="17558" operator="equal">
      <formula>$BB$17</formula>
    </cfRule>
    <cfRule type="cellIs" dxfId="1508" priority="17559" operator="equal">
      <formula>$BB$15</formula>
    </cfRule>
    <cfRule type="cellIs" dxfId="1507" priority="17560" operator="equal">
      <formula>$BB$13</formula>
    </cfRule>
    <cfRule type="cellIs" dxfId="1506" priority="17561" operator="equal">
      <formula>$BB$12</formula>
    </cfRule>
    <cfRule type="cellIs" dxfId="1505" priority="17562" operator="equal">
      <formula>$BB$11</formula>
    </cfRule>
    <cfRule type="cellIs" dxfId="1504" priority="17563" operator="equal">
      <formula>$BB$10</formula>
    </cfRule>
    <cfRule type="cellIs" dxfId="1503" priority="17564" operator="equal">
      <formula>$BB$9</formula>
    </cfRule>
    <cfRule type="cellIs" dxfId="1502" priority="17565" operator="equal">
      <formula>$BB$8</formula>
    </cfRule>
    <cfRule type="cellIs" dxfId="1501" priority="17566" operator="equal">
      <formula>$BB$7</formula>
    </cfRule>
    <cfRule type="cellIs" dxfId="1500" priority="17567" operator="equal">
      <formula>$BB$6</formula>
    </cfRule>
    <cfRule type="cellIs" dxfId="1499" priority="17568" operator="equal">
      <formula>$AZ$23</formula>
    </cfRule>
    <cfRule type="cellIs" dxfId="1498" priority="17569" operator="equal">
      <formula>#REF!</formula>
    </cfRule>
    <cfRule type="cellIs" dxfId="1497" priority="17570" operator="equal">
      <formula>$AZ$22</formula>
    </cfRule>
    <cfRule type="cellIs" dxfId="1496" priority="17571" operator="equal">
      <formula>$AZ$21</formula>
    </cfRule>
    <cfRule type="cellIs" dxfId="1495" priority="17572" operator="equal">
      <formula>$AZ$20</formula>
    </cfRule>
    <cfRule type="cellIs" dxfId="1494" priority="17573" operator="equal">
      <formula>$AZ$19</formula>
    </cfRule>
    <cfRule type="cellIs" dxfId="1493" priority="17574" operator="equal">
      <formula>$AZ$18</formula>
    </cfRule>
    <cfRule type="cellIs" dxfId="1492" priority="17575" operator="equal">
      <formula>$AZ$15</formula>
    </cfRule>
    <cfRule type="cellIs" dxfId="1491" priority="17576" operator="equal">
      <formula>$AZ$13</formula>
    </cfRule>
    <cfRule type="cellIs" dxfId="1490" priority="17577" operator="equal">
      <formula>$AZ$12</formula>
    </cfRule>
    <cfRule type="cellIs" dxfId="1489" priority="17578" operator="equal">
      <formula>$AZ$11</formula>
    </cfRule>
    <cfRule type="cellIs" dxfId="1488" priority="17579" operator="equal">
      <formula>$AZ$10</formula>
    </cfRule>
    <cfRule type="cellIs" dxfId="1487" priority="17580" operator="equal">
      <formula>$AZ$9</formula>
    </cfRule>
    <cfRule type="cellIs" dxfId="1486" priority="17581" operator="equal">
      <formula>$AZ$8</formula>
    </cfRule>
    <cfRule type="cellIs" dxfId="1485" priority="17582" operator="equal">
      <formula>$AZ$7</formula>
    </cfRule>
    <cfRule type="cellIs" dxfId="1484" priority="17583" operator="equal">
      <formula>$AZ$6</formula>
    </cfRule>
    <cfRule type="cellIs" dxfId="1483" priority="17584" operator="equal">
      <formula>$S$45</formula>
    </cfRule>
  </conditionalFormatting>
  <conditionalFormatting sqref="AA21:AG27">
    <cfRule type="cellIs" dxfId="1482" priority="17585" operator="equal">
      <formula>$BB$13</formula>
    </cfRule>
    <cfRule type="cellIs" dxfId="1481" priority="17586" operator="equal">
      <formula>$BB$12</formula>
    </cfRule>
    <cfRule type="cellIs" dxfId="1480" priority="17587" operator="equal">
      <formula>$BB$11</formula>
    </cfRule>
    <cfRule type="cellIs" dxfId="1479" priority="17588" operator="equal">
      <formula>$BB$10</formula>
    </cfRule>
    <cfRule type="cellIs" dxfId="1478" priority="17589" operator="equal">
      <formula>$BB$9</formula>
    </cfRule>
    <cfRule type="cellIs" dxfId="1477" priority="17590" operator="equal">
      <formula>$BB$8</formula>
    </cfRule>
    <cfRule type="cellIs" dxfId="1476" priority="17591" operator="equal">
      <formula>$BB$7</formula>
    </cfRule>
    <cfRule type="cellIs" dxfId="1475" priority="17592" operator="equal">
      <formula>$BB$6</formula>
    </cfRule>
    <cfRule type="cellIs" dxfId="1474" priority="17593" operator="equal">
      <formula>$AZ$23</formula>
    </cfRule>
    <cfRule type="cellIs" dxfId="1473" priority="17594" operator="equal">
      <formula>#REF!</formula>
    </cfRule>
    <cfRule type="cellIs" dxfId="1472" priority="17595" operator="equal">
      <formula>$AZ$22</formula>
    </cfRule>
    <cfRule type="cellIs" dxfId="1471" priority="17596" operator="equal">
      <formula>$AZ$21</formula>
    </cfRule>
    <cfRule type="cellIs" dxfId="1470" priority="17597" operator="equal">
      <formula>$AZ$20</formula>
    </cfRule>
    <cfRule type="cellIs" dxfId="1469" priority="17598" operator="equal">
      <formula>$AZ$19</formula>
    </cfRule>
    <cfRule type="cellIs" dxfId="1468" priority="17599" operator="equal">
      <formula>$AZ$18</formula>
    </cfRule>
    <cfRule type="cellIs" dxfId="1467" priority="17600" operator="equal">
      <formula>$AZ$15</formula>
    </cfRule>
    <cfRule type="cellIs" dxfId="1466" priority="17601" operator="equal">
      <formula>$AZ$13</formula>
    </cfRule>
    <cfRule type="cellIs" dxfId="1465" priority="17602" operator="equal">
      <formula>$AZ$12</formula>
    </cfRule>
    <cfRule type="cellIs" dxfId="1464" priority="17603" operator="equal">
      <formula>$AZ$11</formula>
    </cfRule>
    <cfRule type="cellIs" dxfId="1463" priority="17604" operator="equal">
      <formula>$AZ$10</formula>
    </cfRule>
    <cfRule type="cellIs" dxfId="1462" priority="17605" operator="equal">
      <formula>$AZ$9</formula>
    </cfRule>
    <cfRule type="cellIs" dxfId="1461" priority="17606" operator="equal">
      <formula>$AZ$8</formula>
    </cfRule>
    <cfRule type="cellIs" dxfId="1460" priority="17607" operator="equal">
      <formula>$AZ$7</formula>
    </cfRule>
    <cfRule type="cellIs" dxfId="1459" priority="17608" operator="equal">
      <formula>$AZ$6</formula>
    </cfRule>
    <cfRule type="cellIs" dxfId="1458" priority="17609" operator="equal">
      <formula>$S$45</formula>
    </cfRule>
    <cfRule type="cellIs" dxfId="1457" priority="17610" operator="equal">
      <formula>$S$44</formula>
    </cfRule>
    <cfRule type="cellIs" dxfId="1456" priority="17611" operator="equal">
      <formula>$S$43</formula>
    </cfRule>
    <cfRule type="cellIs" dxfId="1455" priority="17612" operator="equal">
      <formula>$S$42</formula>
    </cfRule>
    <cfRule type="cellIs" dxfId="1454" priority="17613" operator="equal">
      <formula>$S$41</formula>
    </cfRule>
    <cfRule type="cellIs" dxfId="1453" priority="17614" operator="equal">
      <formula>$S$40</formula>
    </cfRule>
    <cfRule type="cellIs" dxfId="1452" priority="17615" operator="equal">
      <formula>$S$39</formula>
    </cfRule>
    <cfRule type="cellIs" dxfId="1451" priority="17616" operator="equal">
      <formula>$S$38</formula>
    </cfRule>
    <cfRule type="cellIs" dxfId="1450" priority="17617" operator="equal">
      <formula>$S$37</formula>
    </cfRule>
    <cfRule type="cellIs" dxfId="1449" priority="17618" operator="equal">
      <formula>$S$36</formula>
    </cfRule>
    <cfRule type="cellIs" dxfId="1448" priority="17619" operator="equal">
      <formula>$S$35</formula>
    </cfRule>
    <cfRule type="cellIs" dxfId="1447" priority="17620" operator="equal">
      <formula>$S$34</formula>
    </cfRule>
    <cfRule type="cellIs" dxfId="1446" priority="17621" operator="equal">
      <formula>$S$33</formula>
    </cfRule>
    <cfRule type="cellIs" dxfId="1445" priority="17622" operator="equal">
      <formula>$S$32</formula>
    </cfRule>
    <cfRule type="cellIs" dxfId="1444" priority="17623" operator="equal">
      <formula>$C$44</formula>
    </cfRule>
    <cfRule type="cellIs" dxfId="1443" priority="17624" operator="equal">
      <formula>$C$43</formula>
    </cfRule>
    <cfRule type="cellIs" dxfId="1442" priority="17625" operator="equal">
      <formula>$C$42</formula>
    </cfRule>
    <cfRule type="cellIs" dxfId="1441" priority="17626" operator="equal">
      <formula>$C$41</formula>
    </cfRule>
    <cfRule type="cellIs" dxfId="1440" priority="17627" operator="equal">
      <formula>$C$40</formula>
    </cfRule>
    <cfRule type="cellIs" dxfId="1439" priority="17628" operator="equal">
      <formula>$C$39</formula>
    </cfRule>
    <cfRule type="cellIs" dxfId="1438" priority="17629" operator="equal">
      <formula>$C$38</formula>
    </cfRule>
    <cfRule type="cellIs" dxfId="1437" priority="17630" operator="equal">
      <formula>$C$37</formula>
    </cfRule>
    <cfRule type="cellIs" dxfId="1436" priority="17631" operator="equal">
      <formula>$C$36</formula>
    </cfRule>
    <cfRule type="cellIs" dxfId="1435" priority="17632" operator="equal">
      <formula>$C$35</formula>
    </cfRule>
    <cfRule type="cellIs" dxfId="1434" priority="17633" operator="equal">
      <formula>$C$34</formula>
    </cfRule>
    <cfRule type="cellIs" dxfId="1433" priority="17634" operator="equal">
      <formula>$C$33</formula>
    </cfRule>
    <cfRule type="cellIs" dxfId="1432" priority="17635" operator="equal">
      <formula>$C$32</formula>
    </cfRule>
    <cfRule type="cellIs" dxfId="1431" priority="17636" operator="equal">
      <formula>#REF!</formula>
    </cfRule>
    <cfRule type="cellIs" dxfId="1430" priority="17637" operator="equal">
      <formula>$BB$23</formula>
    </cfRule>
    <cfRule type="cellIs" dxfId="1429" priority="17638" operator="equal">
      <formula>$BB$22</formula>
    </cfRule>
    <cfRule type="cellIs" dxfId="1428" priority="17639" operator="equal">
      <formula>$BB$21</formula>
    </cfRule>
    <cfRule type="cellIs" dxfId="1427" priority="17640" operator="equal">
      <formula>$BB$20</formula>
    </cfRule>
    <cfRule type="cellIs" dxfId="1426" priority="17641" operator="equal">
      <formula>$BB$19</formula>
    </cfRule>
    <cfRule type="cellIs" dxfId="1425" priority="17642" operator="equal">
      <formula>$BB$18</formula>
    </cfRule>
    <cfRule type="cellIs" dxfId="1424" priority="17643" operator="equal">
      <formula>$BB$15</formula>
    </cfRule>
  </conditionalFormatting>
  <conditionalFormatting sqref="BC23">
    <cfRule type="cellIs" dxfId="1423" priority="17644" operator="equal">
      <formula>$S$44</formula>
    </cfRule>
    <cfRule type="cellIs" dxfId="1422" priority="17644" operator="equal">
      <formula>$S$43</formula>
    </cfRule>
    <cfRule type="cellIs" dxfId="1421" priority="17644" operator="equal">
      <formula>$S$42</formula>
    </cfRule>
    <cfRule type="cellIs" dxfId="1420" priority="17644" operator="equal">
      <formula>$S$41</formula>
    </cfRule>
    <cfRule type="cellIs" dxfId="1419" priority="17644" operator="equal">
      <formula>$S$40</formula>
    </cfRule>
    <cfRule type="cellIs" dxfId="1418" priority="17644" operator="equal">
      <formula>$S$39</formula>
    </cfRule>
    <cfRule type="cellIs" dxfId="1417" priority="17644" operator="equal">
      <formula>$S$38</formula>
    </cfRule>
    <cfRule type="cellIs" dxfId="1416" priority="17644" operator="equal">
      <formula>$S$37</formula>
    </cfRule>
    <cfRule type="cellIs" dxfId="1415" priority="17644" operator="equal">
      <formula>$S$36</formula>
    </cfRule>
    <cfRule type="cellIs" dxfId="1414" priority="17644" operator="equal">
      <formula>$S$35</formula>
    </cfRule>
    <cfRule type="cellIs" dxfId="1413" priority="17644" operator="equal">
      <formula>$S$34</formula>
    </cfRule>
    <cfRule type="cellIs" dxfId="1412" priority="17644" operator="equal">
      <formula>$S$33</formula>
    </cfRule>
    <cfRule type="cellIs" dxfId="1411" priority="17644" operator="equal">
      <formula>$S$32</formula>
    </cfRule>
    <cfRule type="cellIs" dxfId="1410" priority="17644" operator="equal">
      <formula>$C$44</formula>
    </cfRule>
    <cfRule type="cellIs" dxfId="1409" priority="17644" operator="equal">
      <formula>$C$43</formula>
    </cfRule>
    <cfRule type="cellIs" dxfId="1408" priority="17644" operator="equal">
      <formula>$C$42</formula>
    </cfRule>
    <cfRule type="cellIs" dxfId="1407" priority="17644" operator="equal">
      <formula>$C$41</formula>
    </cfRule>
    <cfRule type="cellIs" dxfId="1406" priority="17644" operator="equal">
      <formula>$C$40</formula>
    </cfRule>
    <cfRule type="cellIs" dxfId="1405" priority="17645" operator="equal">
      <formula>$C$39</formula>
    </cfRule>
    <cfRule type="cellIs" dxfId="1404" priority="17646" operator="equal">
      <formula>$C$38</formula>
    </cfRule>
    <cfRule type="cellIs" dxfId="1403" priority="17647" operator="equal">
      <formula>$C$37</formula>
    </cfRule>
    <cfRule type="cellIs" dxfId="1402" priority="17648" operator="equal">
      <formula>$C$36</formula>
    </cfRule>
    <cfRule type="cellIs" dxfId="1401" priority="17649" operator="equal">
      <formula>$C$35</formula>
    </cfRule>
    <cfRule type="cellIs" dxfId="1400" priority="17650" operator="equal">
      <formula>$C$34</formula>
    </cfRule>
    <cfRule type="cellIs" dxfId="1399" priority="17651" operator="equal">
      <formula>$C$33</formula>
    </cfRule>
    <cfRule type="cellIs" dxfId="1398" priority="17652" operator="equal">
      <formula>$C$32</formula>
    </cfRule>
    <cfRule type="cellIs" dxfId="1397" priority="17653" operator="equal">
      <formula>$BB$24</formula>
    </cfRule>
    <cfRule type="cellIs" dxfId="1396" priority="17654" operator="equal">
      <formula>$BB$23</formula>
    </cfRule>
    <cfRule type="cellIs" dxfId="1395" priority="17655" operator="equal">
      <formula>$BB$21</formula>
    </cfRule>
    <cfRule type="cellIs" dxfId="1394" priority="17656" operator="equal">
      <formula>$BB$20</formula>
    </cfRule>
    <cfRule type="cellIs" dxfId="1393" priority="17657" operator="equal">
      <formula>$BB$19</formula>
    </cfRule>
    <cfRule type="cellIs" dxfId="1392" priority="17658" operator="equal">
      <formula>$BB$18</formula>
    </cfRule>
    <cfRule type="cellIs" dxfId="1391" priority="17659" operator="equal">
      <formula>$BB$17</formula>
    </cfRule>
    <cfRule type="cellIs" dxfId="1390" priority="17660" operator="equal">
      <formula>$BB$15</formula>
    </cfRule>
    <cfRule type="cellIs" dxfId="1389" priority="17661" operator="equal">
      <formula>$BB$13</formula>
    </cfRule>
    <cfRule type="cellIs" dxfId="1388" priority="17662" operator="equal">
      <formula>$BB$12</formula>
    </cfRule>
    <cfRule type="cellIs" dxfId="1387" priority="17663" operator="equal">
      <formula>$BB$11</formula>
    </cfRule>
    <cfRule type="cellIs" dxfId="1386" priority="17664" operator="equal">
      <formula>$BB$10</formula>
    </cfRule>
    <cfRule type="cellIs" dxfId="1385" priority="17665" operator="equal">
      <formula>$BB$9</formula>
    </cfRule>
    <cfRule type="cellIs" dxfId="1384" priority="17666" operator="equal">
      <formula>$BB$8</formula>
    </cfRule>
    <cfRule type="cellIs" dxfId="1383" priority="17667" operator="equal">
      <formula>$BB$7</formula>
    </cfRule>
    <cfRule type="cellIs" dxfId="1382" priority="17668" operator="equal">
      <formula>$BB$6</formula>
    </cfRule>
    <cfRule type="cellIs" dxfId="1381" priority="17669" operator="equal">
      <formula>$AZ$23</formula>
    </cfRule>
    <cfRule type="cellIs" dxfId="1380" priority="17670" operator="equal">
      <formula>#REF!</formula>
    </cfRule>
    <cfRule type="cellIs" dxfId="1379" priority="17671" operator="equal">
      <formula>$AZ$22</formula>
    </cfRule>
    <cfRule type="cellIs" dxfId="1378" priority="17672" operator="equal">
      <formula>$AZ$21</formula>
    </cfRule>
    <cfRule type="cellIs" dxfId="1377" priority="17673" operator="equal">
      <formula>$AZ$20</formula>
    </cfRule>
    <cfRule type="cellIs" dxfId="1376" priority="17674" operator="equal">
      <formula>$AZ$19</formula>
    </cfRule>
    <cfRule type="cellIs" dxfId="1375" priority="17675" operator="equal">
      <formula>$AZ$18</formula>
    </cfRule>
    <cfRule type="cellIs" dxfId="1374" priority="17676" operator="equal">
      <formula>$AZ$15</formula>
    </cfRule>
    <cfRule type="cellIs" dxfId="1373" priority="17677" operator="equal">
      <formula>$AZ$13</formula>
    </cfRule>
    <cfRule type="cellIs" dxfId="1372" priority="17678" operator="equal">
      <formula>$AZ$12</formula>
    </cfRule>
    <cfRule type="cellIs" dxfId="1371" priority="17679" operator="equal">
      <formula>$AZ$11</formula>
    </cfRule>
    <cfRule type="cellIs" dxfId="1370" priority="17680" operator="equal">
      <formula>$AZ$10</formula>
    </cfRule>
    <cfRule type="cellIs" dxfId="1369" priority="17681" operator="equal">
      <formula>$AZ$9</formula>
    </cfRule>
    <cfRule type="cellIs" dxfId="1368" priority="17682" operator="equal">
      <formula>$AZ$8</formula>
    </cfRule>
    <cfRule type="cellIs" dxfId="1367" priority="17683" operator="equal">
      <formula>$AZ$7</formula>
    </cfRule>
    <cfRule type="cellIs" dxfId="1366" priority="17684" operator="equal">
      <formula>$AZ$6</formula>
    </cfRule>
    <cfRule type="cellIs" dxfId="1365" priority="17685" operator="equal">
      <formula>$S$45</formula>
    </cfRule>
  </conditionalFormatting>
  <conditionalFormatting sqref="AA21:AG27">
    <cfRule type="cellIs" dxfId="1364" priority="17686" operator="equal">
      <formula>$BB$13</formula>
    </cfRule>
    <cfRule type="cellIs" dxfId="1363" priority="17687" operator="equal">
      <formula>$BB$12</formula>
    </cfRule>
    <cfRule type="cellIs" dxfId="1362" priority="17688" operator="equal">
      <formula>$BB$11</formula>
    </cfRule>
    <cfRule type="cellIs" dxfId="1361" priority="17689" operator="equal">
      <formula>$BB$10</formula>
    </cfRule>
    <cfRule type="cellIs" dxfId="1360" priority="17690" operator="equal">
      <formula>$BB$9</formula>
    </cfRule>
    <cfRule type="cellIs" dxfId="1359" priority="17691" operator="equal">
      <formula>$BB$8</formula>
    </cfRule>
    <cfRule type="cellIs" dxfId="1358" priority="17692" operator="equal">
      <formula>$BB$7</formula>
    </cfRule>
    <cfRule type="cellIs" dxfId="1357" priority="17693" operator="equal">
      <formula>$BB$6</formula>
    </cfRule>
    <cfRule type="cellIs" dxfId="1356" priority="17694" operator="equal">
      <formula>$AZ$23</formula>
    </cfRule>
    <cfRule type="cellIs" dxfId="1355" priority="17695" operator="equal">
      <formula>#REF!</formula>
    </cfRule>
    <cfRule type="cellIs" dxfId="1354" priority="17696" operator="equal">
      <formula>$AZ$22</formula>
    </cfRule>
    <cfRule type="cellIs" dxfId="1353" priority="17697" operator="equal">
      <formula>$AZ$21</formula>
    </cfRule>
    <cfRule type="cellIs" dxfId="1352" priority="17698" operator="equal">
      <formula>$AZ$20</formula>
    </cfRule>
    <cfRule type="cellIs" dxfId="1351" priority="17699" operator="equal">
      <formula>$AZ$19</formula>
    </cfRule>
    <cfRule type="cellIs" dxfId="1350" priority="17700" operator="equal">
      <formula>$AZ$18</formula>
    </cfRule>
    <cfRule type="cellIs" dxfId="1349" priority="17701" operator="equal">
      <formula>$AZ$15</formula>
    </cfRule>
    <cfRule type="cellIs" dxfId="1348" priority="17702" operator="equal">
      <formula>$AZ$13</formula>
    </cfRule>
    <cfRule type="cellIs" dxfId="1347" priority="17703" operator="equal">
      <formula>$AZ$12</formula>
    </cfRule>
    <cfRule type="cellIs" dxfId="1346" priority="17704" operator="equal">
      <formula>$AZ$11</formula>
    </cfRule>
    <cfRule type="cellIs" dxfId="1345" priority="17705" operator="equal">
      <formula>$AZ$10</formula>
    </cfRule>
    <cfRule type="cellIs" dxfId="1344" priority="17706" operator="equal">
      <formula>$AZ$9</formula>
    </cfRule>
    <cfRule type="cellIs" dxfId="1343" priority="17707" operator="equal">
      <formula>$AZ$8</formula>
    </cfRule>
    <cfRule type="cellIs" dxfId="1342" priority="17708" operator="equal">
      <formula>$AZ$7</formula>
    </cfRule>
    <cfRule type="cellIs" dxfId="1341" priority="17709" operator="equal">
      <formula>$AZ$6</formula>
    </cfRule>
    <cfRule type="cellIs" dxfId="1340" priority="17710" operator="equal">
      <formula>$S$45</formula>
    </cfRule>
    <cfRule type="cellIs" dxfId="1339" priority="17711" operator="equal">
      <formula>$S$44</formula>
    </cfRule>
    <cfRule type="cellIs" dxfId="1338" priority="17712" operator="equal">
      <formula>$S$43</formula>
    </cfRule>
    <cfRule type="cellIs" dxfId="1337" priority="17713" operator="equal">
      <formula>$S$42</formula>
    </cfRule>
    <cfRule type="cellIs" dxfId="1336" priority="17714" operator="equal">
      <formula>$S$41</formula>
    </cfRule>
    <cfRule type="cellIs" dxfId="1335" priority="17715" operator="equal">
      <formula>$S$40</formula>
    </cfRule>
    <cfRule type="cellIs" dxfId="1334" priority="17716" operator="equal">
      <formula>$S$39</formula>
    </cfRule>
    <cfRule type="cellIs" dxfId="1333" priority="17717" operator="equal">
      <formula>$S$38</formula>
    </cfRule>
    <cfRule type="cellIs" dxfId="1332" priority="17718" operator="equal">
      <formula>$S$37</formula>
    </cfRule>
    <cfRule type="cellIs" dxfId="1331" priority="17719" operator="equal">
      <formula>$S$36</formula>
    </cfRule>
    <cfRule type="cellIs" dxfId="1330" priority="17720" operator="equal">
      <formula>$S$35</formula>
    </cfRule>
    <cfRule type="cellIs" dxfId="1329" priority="17721" operator="equal">
      <formula>$S$34</formula>
    </cfRule>
    <cfRule type="cellIs" dxfId="1328" priority="17722" operator="equal">
      <formula>$S$33</formula>
    </cfRule>
    <cfRule type="cellIs" dxfId="1327" priority="17723" operator="equal">
      <formula>$S$32</formula>
    </cfRule>
    <cfRule type="cellIs" dxfId="1326" priority="17724" operator="equal">
      <formula>$C$44</formula>
    </cfRule>
    <cfRule type="cellIs" dxfId="1325" priority="17725" operator="equal">
      <formula>$C$43</formula>
    </cfRule>
    <cfRule type="cellIs" dxfId="1324" priority="17726" operator="equal">
      <formula>$C$42</formula>
    </cfRule>
    <cfRule type="cellIs" dxfId="1323" priority="17727" operator="equal">
      <formula>$C$41</formula>
    </cfRule>
    <cfRule type="cellIs" dxfId="1322" priority="17728" operator="equal">
      <formula>$C$40</formula>
    </cfRule>
    <cfRule type="cellIs" dxfId="1321" priority="17729" operator="equal">
      <formula>$C$39</formula>
    </cfRule>
    <cfRule type="cellIs" dxfId="1320" priority="17730" operator="equal">
      <formula>$C$38</formula>
    </cfRule>
    <cfRule type="cellIs" dxfId="1319" priority="17731" operator="equal">
      <formula>$C$37</formula>
    </cfRule>
    <cfRule type="cellIs" dxfId="1318" priority="17732" operator="equal">
      <formula>$C$36</formula>
    </cfRule>
    <cfRule type="cellIs" dxfId="1317" priority="17733" operator="equal">
      <formula>$C$35</formula>
    </cfRule>
    <cfRule type="cellIs" dxfId="1316" priority="17734" operator="equal">
      <formula>$C$34</formula>
    </cfRule>
    <cfRule type="cellIs" dxfId="1315" priority="17735" operator="equal">
      <formula>$C$33</formula>
    </cfRule>
    <cfRule type="cellIs" dxfId="1314" priority="17736" operator="equal">
      <formula>$C$32</formula>
    </cfRule>
    <cfRule type="cellIs" dxfId="1313" priority="17737" operator="equal">
      <formula>$BB$24</formula>
    </cfRule>
    <cfRule type="cellIs" dxfId="1312" priority="17738" operator="equal">
      <formula>$BB$23</formula>
    </cfRule>
    <cfRule type="cellIs" dxfId="1311" priority="17739" operator="equal">
      <formula>$BB$22</formula>
    </cfRule>
    <cfRule type="cellIs" dxfId="1310" priority="17740" operator="equal">
      <formula>$BB$21</formula>
    </cfRule>
    <cfRule type="cellIs" dxfId="1309" priority="17741" operator="equal">
      <formula>$BB$20</formula>
    </cfRule>
    <cfRule type="cellIs" dxfId="1308" priority="17742" operator="equal">
      <formula>$BB$19</formula>
    </cfRule>
    <cfRule type="cellIs" dxfId="1307" priority="17743" operator="equal">
      <formula>$BB$18</formula>
    </cfRule>
    <cfRule type="cellIs" dxfId="1306" priority="17744" operator="equal">
      <formula>$BB$15</formula>
    </cfRule>
  </conditionalFormatting>
  <conditionalFormatting sqref="C10:I17 S21:Y27 AA19:AG19 AI19:AO19 C20 S10:Y17 AI21:AO27 AQ10:AW17 AQ21:AW27 C21:I27 K21:Q27 AQ19:AW19">
    <cfRule type="cellIs" dxfId="1305" priority="17745" operator="equal">
      <formula>$S$44</formula>
    </cfRule>
    <cfRule type="cellIs" dxfId="1304" priority="17745" operator="equal">
      <formula>$S$43</formula>
    </cfRule>
    <cfRule type="cellIs" dxfId="1303" priority="17745" operator="equal">
      <formula>$S$42</formula>
    </cfRule>
    <cfRule type="cellIs" dxfId="1302" priority="17745" operator="equal">
      <formula>$S$41</formula>
    </cfRule>
    <cfRule type="cellIs" dxfId="1301" priority="17745" operator="equal">
      <formula>$S$40</formula>
    </cfRule>
    <cfRule type="cellIs" dxfId="1300" priority="17745" operator="equal">
      <formula>$S$39</formula>
    </cfRule>
    <cfRule type="cellIs" dxfId="1299" priority="17745" operator="equal">
      <formula>$S$38</formula>
    </cfRule>
    <cfRule type="cellIs" dxfId="1298" priority="17745" operator="equal">
      <formula>$S$37</formula>
    </cfRule>
    <cfRule type="cellIs" dxfId="1297" priority="17745" operator="equal">
      <formula>$S$36</formula>
    </cfRule>
    <cfRule type="cellIs" dxfId="1296" priority="17745" operator="equal">
      <formula>$S$35</formula>
    </cfRule>
    <cfRule type="cellIs" dxfId="1295" priority="17745" operator="equal">
      <formula>$S$34</formula>
    </cfRule>
    <cfRule type="cellIs" dxfId="1294" priority="17745" operator="equal">
      <formula>$S$33</formula>
    </cfRule>
    <cfRule type="cellIs" dxfId="1293" priority="17745" operator="equal">
      <formula>$S$32</formula>
    </cfRule>
    <cfRule type="cellIs" dxfId="1292" priority="17745" operator="equal">
      <formula>$C$44</formula>
    </cfRule>
    <cfRule type="cellIs" dxfId="1291" priority="17745" operator="equal">
      <formula>$C$43</formula>
    </cfRule>
    <cfRule type="cellIs" dxfId="1290" priority="17745" operator="equal">
      <formula>$C$42</formula>
    </cfRule>
    <cfRule type="cellIs" dxfId="1289" priority="17745" operator="equal">
      <formula>$C$41</formula>
    </cfRule>
    <cfRule type="cellIs" dxfId="1288" priority="17745" operator="equal">
      <formula>$C$40</formula>
    </cfRule>
    <cfRule type="cellIs" dxfId="1287" priority="17746" operator="equal">
      <formula>$C$39</formula>
    </cfRule>
    <cfRule type="cellIs" dxfId="1286" priority="17747" operator="equal">
      <formula>$C$38</formula>
    </cfRule>
    <cfRule type="cellIs" dxfId="1285" priority="17748" operator="equal">
      <formula>$C$37</formula>
    </cfRule>
    <cfRule type="cellIs" dxfId="1284" priority="17749" operator="equal">
      <formula>$C$36</formula>
    </cfRule>
    <cfRule type="cellIs" dxfId="1283" priority="17750" operator="equal">
      <formula>$C$35</formula>
    </cfRule>
    <cfRule type="cellIs" dxfId="1282" priority="17751" operator="equal">
      <formula>$C$34</formula>
    </cfRule>
    <cfRule type="cellIs" dxfId="1281" priority="17752" operator="equal">
      <formula>$C$33</formula>
    </cfRule>
    <cfRule type="cellIs" dxfId="1280" priority="17753" operator="equal">
      <formula>$C$32</formula>
    </cfRule>
    <cfRule type="cellIs" dxfId="1279" priority="17754" operator="equal">
      <formula>$BB$23</formula>
    </cfRule>
    <cfRule type="cellIs" dxfId="1278" priority="17755" operator="equal">
      <formula>#REF!</formula>
    </cfRule>
    <cfRule type="cellIs" dxfId="1277" priority="17756" operator="equal">
      <formula>$BB$21</formula>
    </cfRule>
    <cfRule type="cellIs" dxfId="1276" priority="17757" operator="equal">
      <formula>$BB$20</formula>
    </cfRule>
    <cfRule type="cellIs" dxfId="1275" priority="17758" operator="equal">
      <formula>$BB$19</formula>
    </cfRule>
    <cfRule type="cellIs" dxfId="1274" priority="17759" operator="equal">
      <formula>$BB$18</formula>
    </cfRule>
    <cfRule type="cellIs" dxfId="1273" priority="17760" operator="equal">
      <formula>$BB$17</formula>
    </cfRule>
    <cfRule type="cellIs" dxfId="1272" priority="17761" operator="equal">
      <formula>$BB$15</formula>
    </cfRule>
    <cfRule type="cellIs" dxfId="1271" priority="17762" operator="equal">
      <formula>$BB$13</formula>
    </cfRule>
    <cfRule type="cellIs" dxfId="1270" priority="17763" operator="equal">
      <formula>$BB$12</formula>
    </cfRule>
    <cfRule type="cellIs" dxfId="1269" priority="17764" operator="equal">
      <formula>$BB$11</formula>
    </cfRule>
    <cfRule type="cellIs" dxfId="1268" priority="17765" operator="equal">
      <formula>$BB$10</formula>
    </cfRule>
    <cfRule type="cellIs" dxfId="1267" priority="17766" operator="equal">
      <formula>$BB$9</formula>
    </cfRule>
    <cfRule type="cellIs" dxfId="1266" priority="17767" operator="equal">
      <formula>$BB$8</formula>
    </cfRule>
    <cfRule type="cellIs" dxfId="1265" priority="17768" operator="equal">
      <formula>$BB$7</formula>
    </cfRule>
    <cfRule type="cellIs" dxfId="1264" priority="17769" operator="equal">
      <formula>$BB$6</formula>
    </cfRule>
    <cfRule type="cellIs" dxfId="1263" priority="17770" operator="equal">
      <formula>$AZ$23</formula>
    </cfRule>
    <cfRule type="cellIs" dxfId="1262" priority="17771" operator="equal">
      <formula>#REF!</formula>
    </cfRule>
    <cfRule type="cellIs" dxfId="1261" priority="17772" operator="equal">
      <formula>$AZ$22</formula>
    </cfRule>
    <cfRule type="cellIs" dxfId="1260" priority="17773" operator="equal">
      <formula>$AZ$21</formula>
    </cfRule>
    <cfRule type="cellIs" dxfId="1259" priority="17774" operator="equal">
      <formula>$AZ$20</formula>
    </cfRule>
    <cfRule type="cellIs" dxfId="1258" priority="17775" operator="equal">
      <formula>$AZ$19</formula>
    </cfRule>
    <cfRule type="cellIs" dxfId="1257" priority="17776" operator="equal">
      <formula>$AZ$18</formula>
    </cfRule>
    <cfRule type="cellIs" dxfId="1256" priority="17777" operator="equal">
      <formula>$AZ$15</formula>
    </cfRule>
    <cfRule type="cellIs" dxfId="1255" priority="17778" operator="equal">
      <formula>$AZ$13</formula>
    </cfRule>
    <cfRule type="cellIs" dxfId="1254" priority="17779" operator="equal">
      <formula>$AZ$12</formula>
    </cfRule>
    <cfRule type="cellIs" dxfId="1253" priority="17780" operator="equal">
      <formula>$AZ$11</formula>
    </cfRule>
    <cfRule type="cellIs" dxfId="1252" priority="17781" operator="equal">
      <formula>$AZ$10</formula>
    </cfRule>
    <cfRule type="cellIs" dxfId="1251" priority="17782" operator="equal">
      <formula>$AZ$9</formula>
    </cfRule>
    <cfRule type="cellIs" dxfId="1250" priority="17783" operator="equal">
      <formula>$AZ$8</formula>
    </cfRule>
    <cfRule type="cellIs" dxfId="1249" priority="17784" operator="equal">
      <formula>$AZ$7</formula>
    </cfRule>
    <cfRule type="cellIs" dxfId="1248" priority="17785" operator="equal">
      <formula>$AZ$6</formula>
    </cfRule>
    <cfRule type="cellIs" dxfId="1247" priority="17786" operator="equal">
      <formula>$S$45</formula>
    </cfRule>
  </conditionalFormatting>
  <conditionalFormatting sqref="AI10:AO17">
    <cfRule type="cellIs" dxfId="1246" priority="18249" operator="equal">
      <formula>$BB$13</formula>
    </cfRule>
    <cfRule type="cellIs" dxfId="1245" priority="18250" operator="equal">
      <formula>$BB$12</formula>
    </cfRule>
    <cfRule type="cellIs" dxfId="1244" priority="18251" operator="equal">
      <formula>$BB$11</formula>
    </cfRule>
    <cfRule type="cellIs" dxfId="1243" priority="18252" operator="equal">
      <formula>$BB$10</formula>
    </cfRule>
    <cfRule type="cellIs" dxfId="1242" priority="18253" operator="equal">
      <formula>$BB$9</formula>
    </cfRule>
    <cfRule type="cellIs" dxfId="1241" priority="18254" operator="equal">
      <formula>$BB$8</formula>
    </cfRule>
    <cfRule type="cellIs" dxfId="1240" priority="18255" operator="equal">
      <formula>$BB$7</formula>
    </cfRule>
    <cfRule type="cellIs" dxfId="1239" priority="18256" operator="equal">
      <formula>$BB$6</formula>
    </cfRule>
    <cfRule type="cellIs" dxfId="1238" priority="18257" operator="equal">
      <formula>$AZ$23</formula>
    </cfRule>
    <cfRule type="cellIs" dxfId="1237" priority="18258" operator="equal">
      <formula>#REF!</formula>
    </cfRule>
    <cfRule type="cellIs" dxfId="1236" priority="18259" operator="equal">
      <formula>$AZ$22</formula>
    </cfRule>
    <cfRule type="cellIs" dxfId="1235" priority="18260" operator="equal">
      <formula>$AZ$21</formula>
    </cfRule>
    <cfRule type="cellIs" dxfId="1234" priority="18261" operator="equal">
      <formula>$AZ$20</formula>
    </cfRule>
    <cfRule type="cellIs" dxfId="1233" priority="18262" operator="equal">
      <formula>$AZ$19</formula>
    </cfRule>
    <cfRule type="cellIs" dxfId="1232" priority="18263" operator="equal">
      <formula>$AZ$18</formula>
    </cfRule>
    <cfRule type="cellIs" dxfId="1231" priority="18264" operator="equal">
      <formula>$AZ$15</formula>
    </cfRule>
    <cfRule type="cellIs" dxfId="1230" priority="18265" operator="equal">
      <formula>$AZ$13</formula>
    </cfRule>
    <cfRule type="cellIs" dxfId="1229" priority="18266" operator="equal">
      <formula>$AZ$12</formula>
    </cfRule>
    <cfRule type="cellIs" dxfId="1228" priority="18267" operator="equal">
      <formula>$AZ$11</formula>
    </cfRule>
    <cfRule type="cellIs" dxfId="1227" priority="18268" operator="equal">
      <formula>$AZ$10</formula>
    </cfRule>
    <cfRule type="cellIs" dxfId="1226" priority="18269" operator="equal">
      <formula>$AZ$9</formula>
    </cfRule>
    <cfRule type="cellIs" dxfId="1225" priority="18270" operator="equal">
      <formula>$AZ$8</formula>
    </cfRule>
    <cfRule type="cellIs" dxfId="1224" priority="18271" operator="equal">
      <formula>$AZ$7</formula>
    </cfRule>
    <cfRule type="cellIs" dxfId="1223" priority="18272" operator="equal">
      <formula>$AZ$6</formula>
    </cfRule>
    <cfRule type="cellIs" dxfId="1222" priority="18273" operator="equal">
      <formula>$S$45</formula>
    </cfRule>
    <cfRule type="cellIs" dxfId="1221" priority="18274" operator="equal">
      <formula>$S$44</formula>
    </cfRule>
    <cfRule type="cellIs" dxfId="1220" priority="18275" operator="equal">
      <formula>$S$43</formula>
    </cfRule>
    <cfRule type="cellIs" dxfId="1219" priority="18276" operator="equal">
      <formula>$S$42</formula>
    </cfRule>
    <cfRule type="cellIs" dxfId="1218" priority="18277" operator="equal">
      <formula>$S$41</formula>
    </cfRule>
    <cfRule type="cellIs" dxfId="1217" priority="18278" operator="equal">
      <formula>$S$40</formula>
    </cfRule>
    <cfRule type="cellIs" dxfId="1216" priority="18279" operator="equal">
      <formula>$S$39</formula>
    </cfRule>
    <cfRule type="cellIs" dxfId="1215" priority="18280" operator="equal">
      <formula>$S$38</formula>
    </cfRule>
    <cfRule type="cellIs" dxfId="1214" priority="18281" operator="equal">
      <formula>$S$37</formula>
    </cfRule>
    <cfRule type="cellIs" dxfId="1213" priority="18282" operator="equal">
      <formula>$S$36</formula>
    </cfRule>
    <cfRule type="cellIs" dxfId="1212" priority="18283" operator="equal">
      <formula>$S$35</formula>
    </cfRule>
    <cfRule type="cellIs" dxfId="1211" priority="18284" operator="equal">
      <formula>$S$34</formula>
    </cfRule>
    <cfRule type="cellIs" dxfId="1210" priority="18285" operator="equal">
      <formula>$S$33</formula>
    </cfRule>
    <cfRule type="cellIs" dxfId="1209" priority="18286" operator="equal">
      <formula>$S$32</formula>
    </cfRule>
    <cfRule type="cellIs" dxfId="1208" priority="18287" operator="equal">
      <formula>$C$44</formula>
    </cfRule>
    <cfRule type="cellIs" dxfId="1207" priority="18288" operator="equal">
      <formula>$C$43</formula>
    </cfRule>
    <cfRule type="cellIs" dxfId="1206" priority="18289" operator="equal">
      <formula>$C$42</formula>
    </cfRule>
    <cfRule type="cellIs" dxfId="1205" priority="18290" operator="equal">
      <formula>$C$41</formula>
    </cfRule>
    <cfRule type="cellIs" dxfId="1204" priority="18291" operator="equal">
      <formula>$C$40</formula>
    </cfRule>
    <cfRule type="cellIs" dxfId="1203" priority="18292" operator="equal">
      <formula>$C$39</formula>
    </cfRule>
    <cfRule type="cellIs" dxfId="1202" priority="18293" operator="equal">
      <formula>$C$38</formula>
    </cfRule>
    <cfRule type="cellIs" dxfId="1201" priority="18294" operator="equal">
      <formula>$C$37</formula>
    </cfRule>
    <cfRule type="cellIs" dxfId="1200" priority="18295" operator="equal">
      <formula>$C$36</formula>
    </cfRule>
    <cfRule type="cellIs" dxfId="1199" priority="18296" operator="equal">
      <formula>$C$35</formula>
    </cfRule>
    <cfRule type="cellIs" dxfId="1198" priority="18297" operator="equal">
      <formula>$C$34</formula>
    </cfRule>
    <cfRule type="cellIs" dxfId="1197" priority="18298" operator="equal">
      <formula>$C$33</formula>
    </cfRule>
    <cfRule type="cellIs" dxfId="1196" priority="18299" operator="equal">
      <formula>$C$32</formula>
    </cfRule>
    <cfRule type="cellIs" dxfId="1195" priority="18300" operator="equal">
      <formula>$BB$23</formula>
    </cfRule>
    <cfRule type="cellIs" dxfId="1194" priority="18301" operator="equal">
      <formula>#REF!</formula>
    </cfRule>
    <cfRule type="cellIs" dxfId="1193" priority="18302" operator="equal">
      <formula>$BB$22</formula>
    </cfRule>
    <cfRule type="cellIs" dxfId="1192" priority="18303" operator="equal">
      <formula>$BB$21</formula>
    </cfRule>
    <cfRule type="cellIs" dxfId="1191" priority="18304" operator="equal">
      <formula>$BB$20</formula>
    </cfRule>
    <cfRule type="cellIs" dxfId="1190" priority="18305" operator="equal">
      <formula>$BB$19</formula>
    </cfRule>
    <cfRule type="cellIs" dxfId="1189" priority="18306" operator="equal">
      <formula>$BB$18</formula>
    </cfRule>
    <cfRule type="cellIs" dxfId="1188" priority="18307" operator="equal">
      <formula>$BB$15</formula>
    </cfRule>
  </conditionalFormatting>
  <conditionalFormatting sqref="AA10:AG17">
    <cfRule type="cellIs" dxfId="1187" priority="18308" operator="equal">
      <formula>$AZ$12</formula>
    </cfRule>
    <cfRule type="cellIs" dxfId="1186" priority="18309" operator="equal">
      <formula>$AZ$11</formula>
    </cfRule>
    <cfRule type="cellIs" dxfId="1185" priority="18310" operator="equal">
      <formula>$AZ$10</formula>
    </cfRule>
    <cfRule type="cellIs" dxfId="1184" priority="18311" operator="equal">
      <formula>$AZ$9</formula>
    </cfRule>
    <cfRule type="cellIs" dxfId="1183" priority="18312" operator="equal">
      <formula>$AZ$8</formula>
    </cfRule>
    <cfRule type="cellIs" dxfId="1182" priority="18313" operator="equal">
      <formula>$AZ$7</formula>
    </cfRule>
    <cfRule type="cellIs" dxfId="1181" priority="18314" operator="equal">
      <formula>$AZ$6</formula>
    </cfRule>
    <cfRule type="cellIs" dxfId="1180" priority="18315" operator="equal">
      <formula>$S$45</formula>
    </cfRule>
    <cfRule type="cellIs" dxfId="1179" priority="18316" operator="equal">
      <formula>$S$44</formula>
    </cfRule>
    <cfRule type="cellIs" dxfId="1178" priority="18317" operator="equal">
      <formula>$S$43</formula>
    </cfRule>
    <cfRule type="cellIs" dxfId="1177" priority="18318" operator="equal">
      <formula>$S$42</formula>
    </cfRule>
    <cfRule type="cellIs" dxfId="1176" priority="18319" operator="equal">
      <formula>$S$41</formula>
    </cfRule>
    <cfRule type="cellIs" dxfId="1175" priority="18320" operator="equal">
      <formula>$S$40</formula>
    </cfRule>
    <cfRule type="cellIs" dxfId="1174" priority="18321" operator="equal">
      <formula>$S$39</formula>
    </cfRule>
    <cfRule type="cellIs" dxfId="1173" priority="18322" operator="equal">
      <formula>$S$38</formula>
    </cfRule>
    <cfRule type="cellIs" dxfId="1172" priority="18323" operator="equal">
      <formula>$S$37</formula>
    </cfRule>
    <cfRule type="cellIs" dxfId="1171" priority="18324" operator="equal">
      <formula>$S$36</formula>
    </cfRule>
    <cfRule type="cellIs" dxfId="1170" priority="18325" operator="equal">
      <formula>$S$35</formula>
    </cfRule>
    <cfRule type="cellIs" dxfId="1169" priority="18326" operator="equal">
      <formula>$S$34</formula>
    </cfRule>
    <cfRule type="cellIs" dxfId="1168" priority="18327" operator="equal">
      <formula>$S$33</formula>
    </cfRule>
    <cfRule type="cellIs" dxfId="1167" priority="18328" operator="equal">
      <formula>$S$32</formula>
    </cfRule>
    <cfRule type="cellIs" dxfId="1166" priority="18329" operator="equal">
      <formula>$C$44</formula>
    </cfRule>
    <cfRule type="cellIs" dxfId="1165" priority="18330" operator="equal">
      <formula>$C$43</formula>
    </cfRule>
    <cfRule type="cellIs" dxfId="1164" priority="18331" operator="equal">
      <formula>$C$42</formula>
    </cfRule>
    <cfRule type="cellIs" dxfId="1163" priority="18332" operator="equal">
      <formula>$C$41</formula>
    </cfRule>
    <cfRule type="cellIs" dxfId="1162" priority="18333" operator="equal">
      <formula>$C$40</formula>
    </cfRule>
    <cfRule type="cellIs" dxfId="1161" priority="18334" operator="equal">
      <formula>$C$39</formula>
    </cfRule>
    <cfRule type="cellIs" dxfId="1160" priority="18335" operator="equal">
      <formula>$C$38</formula>
    </cfRule>
    <cfRule type="cellIs" dxfId="1159" priority="18336" operator="equal">
      <formula>$C$37</formula>
    </cfRule>
    <cfRule type="cellIs" dxfId="1158" priority="18337" operator="equal">
      <formula>$C$36</formula>
    </cfRule>
    <cfRule type="cellIs" dxfId="1157" priority="18338" operator="equal">
      <formula>$C$35</formula>
    </cfRule>
    <cfRule type="cellIs" dxfId="1156" priority="18339" operator="equal">
      <formula>$C$34</formula>
    </cfRule>
    <cfRule type="cellIs" dxfId="1155" priority="18340" operator="equal">
      <formula>$C$33</formula>
    </cfRule>
    <cfRule type="cellIs" dxfId="1154" priority="18341" operator="equal">
      <formula>$C$32</formula>
    </cfRule>
    <cfRule type="cellIs" dxfId="1153" priority="18342" operator="equal">
      <formula>$BB$23</formula>
    </cfRule>
    <cfRule type="cellIs" dxfId="1152" priority="18343" operator="equal">
      <formula>#REF!</formula>
    </cfRule>
    <cfRule type="cellIs" dxfId="1151" priority="18344" operator="equal">
      <formula>$BB$22</formula>
    </cfRule>
    <cfRule type="cellIs" dxfId="1150" priority="18345" operator="equal">
      <formula>$BB$21</formula>
    </cfRule>
    <cfRule type="cellIs" dxfId="1149" priority="18346" operator="equal">
      <formula>$BB$20</formula>
    </cfRule>
    <cfRule type="cellIs" dxfId="1148" priority="18347" operator="equal">
      <formula>$BB$19</formula>
    </cfRule>
    <cfRule type="cellIs" dxfId="1147" priority="18348" operator="equal">
      <formula>$BB$18</formula>
    </cfRule>
    <cfRule type="cellIs" dxfId="1146" priority="18349" operator="equal">
      <formula>$BB$15</formula>
    </cfRule>
    <cfRule type="cellIs" dxfId="1145" priority="18350" operator="equal">
      <formula>$BB$13</formula>
    </cfRule>
    <cfRule type="cellIs" dxfId="1144" priority="18351" operator="equal">
      <formula>$BB$12</formula>
    </cfRule>
    <cfRule type="cellIs" dxfId="1143" priority="18352" operator="equal">
      <formula>$BB$11</formula>
    </cfRule>
    <cfRule type="cellIs" dxfId="1142" priority="18353" operator="equal">
      <formula>$BB$10</formula>
    </cfRule>
    <cfRule type="cellIs" dxfId="1141" priority="18354" operator="equal">
      <formula>$BB$9</formula>
    </cfRule>
    <cfRule type="cellIs" dxfId="1140" priority="18355" operator="equal">
      <formula>$BB$8</formula>
    </cfRule>
    <cfRule type="cellIs" dxfId="1139" priority="18356" operator="equal">
      <formula>$BB$7</formula>
    </cfRule>
    <cfRule type="cellIs" dxfId="1138" priority="18357" operator="equal">
      <formula>$BB$6</formula>
    </cfRule>
    <cfRule type="cellIs" dxfId="1137" priority="18358" operator="equal">
      <formula>#REF!</formula>
    </cfRule>
    <cfRule type="cellIs" dxfId="1136" priority="18359" operator="equal">
      <formula>$AZ$23</formula>
    </cfRule>
    <cfRule type="cellIs" dxfId="1135" priority="18360" operator="equal">
      <formula>$AZ$22</formula>
    </cfRule>
    <cfRule type="cellIs" dxfId="1134" priority="18361" operator="equal">
      <formula>$AZ$21</formula>
    </cfRule>
    <cfRule type="cellIs" dxfId="1133" priority="18362" operator="equal">
      <formula>$AZ$20</formula>
    </cfRule>
    <cfRule type="cellIs" dxfId="1132" priority="18363" operator="equal">
      <formula>$AZ$19</formula>
    </cfRule>
    <cfRule type="cellIs" dxfId="1131" priority="18364" operator="equal">
      <formula>$AZ$18</formula>
    </cfRule>
    <cfRule type="cellIs" dxfId="1130" priority="18365" operator="equal">
      <formula>$AZ$15</formula>
    </cfRule>
    <cfRule type="cellIs" dxfId="1129" priority="18366" operator="equal">
      <formula>$AZ$13</formula>
    </cfRule>
  </conditionalFormatting>
  <conditionalFormatting sqref="C10:I17 S21:Y27 AA19:AG19 AI19:AO19 C20 S10:Y17 AI21:AO27 AQ10:AW17 AQ21:AW27 C21:I27 K21:Q27 AQ19:AW19 AI10:AO17 AA10:AG17">
    <cfRule type="cellIs" dxfId="1128" priority="18367" operator="equal">
      <formula>$S$44</formula>
    </cfRule>
    <cfRule type="cellIs" dxfId="1127" priority="18367" operator="equal">
      <formula>$S$43</formula>
    </cfRule>
    <cfRule type="cellIs" dxfId="1126" priority="18367" operator="equal">
      <formula>$S$42</formula>
    </cfRule>
    <cfRule type="cellIs" dxfId="1125" priority="18367" operator="equal">
      <formula>$S$41</formula>
    </cfRule>
    <cfRule type="cellIs" dxfId="1124" priority="18367" operator="equal">
      <formula>$S$40</formula>
    </cfRule>
    <cfRule type="cellIs" dxfId="1123" priority="18367" operator="equal">
      <formula>$S$39</formula>
    </cfRule>
    <cfRule type="cellIs" dxfId="1122" priority="18367" operator="equal">
      <formula>$S$38</formula>
    </cfRule>
    <cfRule type="cellIs" dxfId="1121" priority="18367" operator="equal">
      <formula>$S$37</formula>
    </cfRule>
    <cfRule type="cellIs" dxfId="1120" priority="18367" operator="equal">
      <formula>$S$36</formula>
    </cfRule>
    <cfRule type="cellIs" dxfId="1119" priority="18367" operator="equal">
      <formula>$S$35</formula>
    </cfRule>
    <cfRule type="cellIs" dxfId="1118" priority="18367" operator="equal">
      <formula>$S$34</formula>
    </cfRule>
    <cfRule type="cellIs" dxfId="1117" priority="18367" operator="equal">
      <formula>$S$33</formula>
    </cfRule>
    <cfRule type="cellIs" dxfId="1116" priority="18367" operator="equal">
      <formula>$S$32</formula>
    </cfRule>
    <cfRule type="cellIs" dxfId="1115" priority="18367" operator="equal">
      <formula>$C$44</formula>
    </cfRule>
    <cfRule type="cellIs" dxfId="1114" priority="18367" operator="equal">
      <formula>$C$43</formula>
    </cfRule>
    <cfRule type="cellIs" dxfId="1113" priority="18367" operator="equal">
      <formula>$C$42</formula>
    </cfRule>
    <cfRule type="cellIs" dxfId="1112" priority="18367" operator="equal">
      <formula>$C$41</formula>
    </cfRule>
    <cfRule type="cellIs" dxfId="1111" priority="18367" operator="equal">
      <formula>$C$40</formula>
    </cfRule>
    <cfRule type="cellIs" dxfId="1110" priority="18368" operator="equal">
      <formula>$C$39</formula>
    </cfRule>
    <cfRule type="cellIs" dxfId="1109" priority="18369" operator="equal">
      <formula>$C$38</formula>
    </cfRule>
    <cfRule type="cellIs" dxfId="1108" priority="18370" operator="equal">
      <formula>$C$37</formula>
    </cfRule>
    <cfRule type="cellIs" dxfId="1107" priority="18371" operator="equal">
      <formula>$C$36</formula>
    </cfRule>
    <cfRule type="cellIs" dxfId="1106" priority="18372" operator="equal">
      <formula>$C$35</formula>
    </cfRule>
    <cfRule type="cellIs" dxfId="1105" priority="18373" operator="equal">
      <formula>$C$34</formula>
    </cfRule>
    <cfRule type="cellIs" dxfId="1104" priority="18374" operator="equal">
      <formula>$C$33</formula>
    </cfRule>
    <cfRule type="cellIs" dxfId="1103" priority="18375" operator="equal">
      <formula>$C$32</formula>
    </cfRule>
    <cfRule type="cellIs" dxfId="1102" priority="18376" operator="equal">
      <formula>#REF!</formula>
    </cfRule>
    <cfRule type="cellIs" dxfId="1101" priority="18377" operator="equal">
      <formula>$BB$23</formula>
    </cfRule>
    <cfRule type="cellIs" dxfId="1100" priority="18378" operator="equal">
      <formula>$BB$21</formula>
    </cfRule>
    <cfRule type="cellIs" dxfId="1099" priority="18379" operator="equal">
      <formula>$BB$20</formula>
    </cfRule>
    <cfRule type="cellIs" dxfId="1098" priority="18380" operator="equal">
      <formula>$BB$19</formula>
    </cfRule>
    <cfRule type="cellIs" dxfId="1097" priority="18381" operator="equal">
      <formula>$BB$18</formula>
    </cfRule>
    <cfRule type="cellIs" dxfId="1096" priority="18382" operator="equal">
      <formula>$BB$17</formula>
    </cfRule>
    <cfRule type="cellIs" dxfId="1095" priority="18383" operator="equal">
      <formula>$BB$15</formula>
    </cfRule>
    <cfRule type="cellIs" dxfId="1094" priority="18384" operator="equal">
      <formula>$BB$13</formula>
    </cfRule>
    <cfRule type="cellIs" dxfId="1093" priority="18385" operator="equal">
      <formula>$BB$12</formula>
    </cfRule>
    <cfRule type="cellIs" dxfId="1092" priority="18386" operator="equal">
      <formula>$BB$11</formula>
    </cfRule>
    <cfRule type="cellIs" dxfId="1091" priority="18387" operator="equal">
      <formula>$BB$10</formula>
    </cfRule>
    <cfRule type="cellIs" dxfId="1090" priority="18388" operator="equal">
      <formula>$BB$9</formula>
    </cfRule>
    <cfRule type="cellIs" dxfId="1089" priority="18389" operator="equal">
      <formula>$BB$8</formula>
    </cfRule>
    <cfRule type="cellIs" dxfId="1088" priority="18390" operator="equal">
      <formula>$BB$7</formula>
    </cfRule>
    <cfRule type="cellIs" dxfId="1087" priority="18391" operator="equal">
      <formula>$BB$6</formula>
    </cfRule>
    <cfRule type="cellIs" dxfId="1086" priority="18392" operator="equal">
      <formula>#REF!</formula>
    </cfRule>
    <cfRule type="cellIs" dxfId="1085" priority="18393" operator="equal">
      <formula>#REF!</formula>
    </cfRule>
    <cfRule type="cellIs" dxfId="1084" priority="18394" operator="equal">
      <formula>$AZ$22</formula>
    </cfRule>
    <cfRule type="cellIs" dxfId="1083" priority="18395" operator="equal">
      <formula>$AZ$21</formula>
    </cfRule>
    <cfRule type="cellIs" dxfId="1082" priority="18396" operator="equal">
      <formula>$AZ$20</formula>
    </cfRule>
    <cfRule type="cellIs" dxfId="1081" priority="18397" operator="equal">
      <formula>$AZ$19</formula>
    </cfRule>
    <cfRule type="cellIs" dxfId="1080" priority="18398" operator="equal">
      <formula>$AZ$18</formula>
    </cfRule>
    <cfRule type="cellIs" dxfId="1079" priority="18399" operator="equal">
      <formula>$AZ$15</formula>
    </cfRule>
    <cfRule type="cellIs" dxfId="1078" priority="18400" operator="equal">
      <formula>$AZ$13</formula>
    </cfRule>
    <cfRule type="cellIs" dxfId="1077" priority="18401" operator="equal">
      <formula>$AZ$12</formula>
    </cfRule>
    <cfRule type="cellIs" dxfId="1076" priority="18402" operator="equal">
      <formula>$AZ$11</formula>
    </cfRule>
    <cfRule type="cellIs" dxfId="1075" priority="18403" operator="equal">
      <formula>$AZ$10</formula>
    </cfRule>
    <cfRule type="cellIs" dxfId="1074" priority="18404" operator="equal">
      <formula>$AZ$9</formula>
    </cfRule>
    <cfRule type="cellIs" dxfId="1073" priority="18405" operator="equal">
      <formula>$AZ$8</formula>
    </cfRule>
    <cfRule type="cellIs" dxfId="1072" priority="18406" operator="equal">
      <formula>$AZ$7</formula>
    </cfRule>
    <cfRule type="cellIs" dxfId="1071" priority="18407" operator="equal">
      <formula>$AZ$6</formula>
    </cfRule>
    <cfRule type="cellIs" dxfId="1070" priority="18408" operator="equal">
      <formula>$S$45</formula>
    </cfRule>
  </conditionalFormatting>
  <conditionalFormatting sqref="K10:Q17">
    <cfRule type="cellIs" dxfId="1069" priority="18955" operator="equal">
      <formula>$BB$13</formula>
    </cfRule>
    <cfRule type="cellIs" dxfId="1068" priority="18956" operator="equal">
      <formula>$BB$12</formula>
    </cfRule>
    <cfRule type="cellIs" dxfId="1067" priority="18957" operator="equal">
      <formula>$BB$11</formula>
    </cfRule>
    <cfRule type="cellIs" dxfId="1066" priority="18958" operator="equal">
      <formula>$BB$10</formula>
    </cfRule>
    <cfRule type="cellIs" dxfId="1065" priority="18959" operator="equal">
      <formula>$BB$9</formula>
    </cfRule>
    <cfRule type="cellIs" dxfId="1064" priority="18960" operator="equal">
      <formula>$BB$8</formula>
    </cfRule>
    <cfRule type="cellIs" dxfId="1063" priority="18961" operator="equal">
      <formula>$BB$7</formula>
    </cfRule>
    <cfRule type="cellIs" dxfId="1062" priority="18962" operator="equal">
      <formula>$BB$6</formula>
    </cfRule>
    <cfRule type="cellIs" dxfId="1061" priority="18963" operator="equal">
      <formula>#REF!</formula>
    </cfRule>
    <cfRule type="cellIs" dxfId="1060" priority="18964" operator="equal">
      <formula>#REF!</formula>
    </cfRule>
    <cfRule type="cellIs" dxfId="1059" priority="18965" operator="equal">
      <formula>$AZ$22</formula>
    </cfRule>
    <cfRule type="cellIs" dxfId="1058" priority="18966" operator="equal">
      <formula>$AZ$21</formula>
    </cfRule>
    <cfRule type="cellIs" dxfId="1057" priority="18967" operator="equal">
      <formula>$AZ$20</formula>
    </cfRule>
    <cfRule type="cellIs" dxfId="1056" priority="18968" operator="equal">
      <formula>$AZ$19</formula>
    </cfRule>
    <cfRule type="cellIs" dxfId="1055" priority="18969" operator="equal">
      <formula>$AZ$18</formula>
    </cfRule>
    <cfRule type="cellIs" dxfId="1054" priority="18970" operator="equal">
      <formula>$AZ$15</formula>
    </cfRule>
    <cfRule type="cellIs" dxfId="1053" priority="18971" operator="equal">
      <formula>$AZ$13</formula>
    </cfRule>
    <cfRule type="cellIs" dxfId="1052" priority="18972" operator="equal">
      <formula>$AZ$12</formula>
    </cfRule>
    <cfRule type="cellIs" dxfId="1051" priority="18973" operator="equal">
      <formula>$AZ$11</formula>
    </cfRule>
    <cfRule type="cellIs" dxfId="1050" priority="18974" operator="equal">
      <formula>$AZ$10</formula>
    </cfRule>
    <cfRule type="cellIs" dxfId="1049" priority="18975" operator="equal">
      <formula>$AZ$9</formula>
    </cfRule>
    <cfRule type="cellIs" dxfId="1048" priority="18976" operator="equal">
      <formula>$AZ$8</formula>
    </cfRule>
    <cfRule type="cellIs" dxfId="1047" priority="18977" operator="equal">
      <formula>$AZ$7</formula>
    </cfRule>
    <cfRule type="cellIs" dxfId="1046" priority="18978" operator="equal">
      <formula>$AZ$6</formula>
    </cfRule>
    <cfRule type="cellIs" dxfId="1045" priority="18979" operator="equal">
      <formula>$S$45</formula>
    </cfRule>
    <cfRule type="cellIs" dxfId="1044" priority="18980" operator="equal">
      <formula>$S$44</formula>
    </cfRule>
    <cfRule type="cellIs" dxfId="1043" priority="18981" operator="equal">
      <formula>$S$43</formula>
    </cfRule>
    <cfRule type="cellIs" dxfId="1042" priority="18982" operator="equal">
      <formula>$S$42</formula>
    </cfRule>
    <cfRule type="cellIs" dxfId="1041" priority="18983" operator="equal">
      <formula>$S$41</formula>
    </cfRule>
    <cfRule type="cellIs" dxfId="1040" priority="18984" operator="equal">
      <formula>$S$40</formula>
    </cfRule>
    <cfRule type="cellIs" dxfId="1039" priority="18985" operator="equal">
      <formula>$S$39</formula>
    </cfRule>
    <cfRule type="cellIs" dxfId="1038" priority="18986" operator="equal">
      <formula>$S$38</formula>
    </cfRule>
    <cfRule type="cellIs" dxfId="1037" priority="18987" operator="equal">
      <formula>$S$37</formula>
    </cfRule>
    <cfRule type="cellIs" dxfId="1036" priority="18988" operator="equal">
      <formula>$S$36</formula>
    </cfRule>
    <cfRule type="cellIs" dxfId="1035" priority="18989" operator="equal">
      <formula>$S$35</formula>
    </cfRule>
    <cfRule type="cellIs" dxfId="1034" priority="18990" operator="equal">
      <formula>$S$34</formula>
    </cfRule>
    <cfRule type="cellIs" dxfId="1033" priority="18991" operator="equal">
      <formula>$S$33</formula>
    </cfRule>
    <cfRule type="cellIs" dxfId="1032" priority="18992" operator="equal">
      <formula>$S$32</formula>
    </cfRule>
    <cfRule type="cellIs" dxfId="1031" priority="18993" operator="equal">
      <formula>$C$44</formula>
    </cfRule>
    <cfRule type="cellIs" dxfId="1030" priority="18994" operator="equal">
      <formula>$C$43</formula>
    </cfRule>
    <cfRule type="cellIs" dxfId="1029" priority="18995" operator="equal">
      <formula>$C$42</formula>
    </cfRule>
    <cfRule type="cellIs" dxfId="1028" priority="18996" operator="equal">
      <formula>$C$41</formula>
    </cfRule>
    <cfRule type="cellIs" dxfId="1027" priority="18997" operator="equal">
      <formula>$C$40</formula>
    </cfRule>
    <cfRule type="cellIs" dxfId="1026" priority="18998" operator="equal">
      <formula>$C$39</formula>
    </cfRule>
    <cfRule type="cellIs" dxfId="1025" priority="18999" operator="equal">
      <formula>$C$38</formula>
    </cfRule>
    <cfRule type="cellIs" dxfId="1024" priority="19000" operator="equal">
      <formula>$C$37</formula>
    </cfRule>
    <cfRule type="cellIs" dxfId="1023" priority="19001" operator="equal">
      <formula>$C$36</formula>
    </cfRule>
    <cfRule type="cellIs" dxfId="1022" priority="19002" operator="equal">
      <formula>$C$35</formula>
    </cfRule>
    <cfRule type="cellIs" dxfId="1021" priority="19003" operator="equal">
      <formula>$C$34</formula>
    </cfRule>
    <cfRule type="cellIs" dxfId="1020" priority="19004" operator="equal">
      <formula>$C$33</formula>
    </cfRule>
    <cfRule type="cellIs" dxfId="1019" priority="19005" operator="equal">
      <formula>$C$32</formula>
    </cfRule>
    <cfRule type="cellIs" dxfId="1018" priority="19006" operator="equal">
      <formula>#REF!</formula>
    </cfRule>
    <cfRule type="cellIs" dxfId="1017" priority="19007" operator="equal">
      <formula>$BB$23</formula>
    </cfRule>
    <cfRule type="cellIs" dxfId="1016" priority="19008" operator="equal">
      <formula>$BB$22</formula>
    </cfRule>
    <cfRule type="cellIs" dxfId="1015" priority="19009" operator="equal">
      <formula>$BB$21</formula>
    </cfRule>
    <cfRule type="cellIs" dxfId="1014" priority="19010" operator="equal">
      <formula>$BB$20</formula>
    </cfRule>
    <cfRule type="cellIs" dxfId="1013" priority="19011" operator="equal">
      <formula>$BB$19</formula>
    </cfRule>
    <cfRule type="cellIs" dxfId="1012" priority="19012" operator="equal">
      <formula>$BB$18</formula>
    </cfRule>
    <cfRule type="cellIs" dxfId="1011" priority="19013" operator="equal">
      <formula>$BB$15</formula>
    </cfRule>
  </conditionalFormatting>
  <conditionalFormatting sqref="AA21:AG27">
    <cfRule type="cellIs" dxfId="1010" priority="19014" operator="equal">
      <formula>$AZ$12</formula>
    </cfRule>
    <cfRule type="cellIs" dxfId="1009" priority="19015" operator="equal">
      <formula>$AZ$11</formula>
    </cfRule>
    <cfRule type="cellIs" dxfId="1008" priority="19016" operator="equal">
      <formula>$AZ$10</formula>
    </cfRule>
    <cfRule type="cellIs" dxfId="1007" priority="19017" operator="equal">
      <formula>$AZ$9</formula>
    </cfRule>
    <cfRule type="cellIs" dxfId="1006" priority="19018" operator="equal">
      <formula>$AZ$8</formula>
    </cfRule>
    <cfRule type="cellIs" dxfId="1005" priority="19019" operator="equal">
      <formula>$AZ$7</formula>
    </cfRule>
    <cfRule type="cellIs" dxfId="1004" priority="19020" operator="equal">
      <formula>$AZ$6</formula>
    </cfRule>
    <cfRule type="cellIs" dxfId="1003" priority="19021" operator="equal">
      <formula>$S$45</formula>
    </cfRule>
    <cfRule type="cellIs" dxfId="1002" priority="19022" operator="equal">
      <formula>$S$44</formula>
    </cfRule>
    <cfRule type="cellIs" dxfId="1001" priority="19023" operator="equal">
      <formula>$S$43</formula>
    </cfRule>
    <cfRule type="cellIs" dxfId="1000" priority="19024" operator="equal">
      <formula>$S$42</formula>
    </cfRule>
    <cfRule type="cellIs" dxfId="999" priority="19025" operator="equal">
      <formula>$S$41</formula>
    </cfRule>
    <cfRule type="cellIs" dxfId="998" priority="19026" operator="equal">
      <formula>$S$40</formula>
    </cfRule>
    <cfRule type="cellIs" dxfId="997" priority="19027" operator="equal">
      <formula>$S$39</formula>
    </cfRule>
    <cfRule type="cellIs" dxfId="996" priority="19028" operator="equal">
      <formula>$S$38</formula>
    </cfRule>
    <cfRule type="cellIs" dxfId="995" priority="19029" operator="equal">
      <formula>$S$37</formula>
    </cfRule>
    <cfRule type="cellIs" dxfId="994" priority="19030" operator="equal">
      <formula>$S$36</formula>
    </cfRule>
    <cfRule type="cellIs" dxfId="993" priority="19031" operator="equal">
      <formula>$S$35</formula>
    </cfRule>
    <cfRule type="cellIs" dxfId="992" priority="19032" operator="equal">
      <formula>$S$34</formula>
    </cfRule>
    <cfRule type="cellIs" dxfId="991" priority="19033" operator="equal">
      <formula>$S$33</formula>
    </cfRule>
    <cfRule type="cellIs" dxfId="990" priority="19034" operator="equal">
      <formula>$S$32</formula>
    </cfRule>
    <cfRule type="cellIs" dxfId="989" priority="19035" operator="equal">
      <formula>$C$44</formula>
    </cfRule>
    <cfRule type="cellIs" dxfId="988" priority="19036" operator="equal">
      <formula>$C$43</formula>
    </cfRule>
    <cfRule type="cellIs" dxfId="987" priority="19037" operator="equal">
      <formula>$C$42</formula>
    </cfRule>
    <cfRule type="cellIs" dxfId="986" priority="19038" operator="equal">
      <formula>$C$41</formula>
    </cfRule>
    <cfRule type="cellIs" dxfId="985" priority="19039" operator="equal">
      <formula>$C$40</formula>
    </cfRule>
    <cfRule type="cellIs" dxfId="984" priority="19040" operator="equal">
      <formula>$C$39</formula>
    </cfRule>
    <cfRule type="cellIs" dxfId="983" priority="19041" operator="equal">
      <formula>$C$38</formula>
    </cfRule>
    <cfRule type="cellIs" dxfId="982" priority="19042" operator="equal">
      <formula>$C$37</formula>
    </cfRule>
    <cfRule type="cellIs" dxfId="981" priority="19043" operator="equal">
      <formula>$C$36</formula>
    </cfRule>
    <cfRule type="cellIs" dxfId="980" priority="19044" operator="equal">
      <formula>$C$35</formula>
    </cfRule>
    <cfRule type="cellIs" dxfId="979" priority="19045" operator="equal">
      <formula>$C$34</formula>
    </cfRule>
    <cfRule type="cellIs" dxfId="978" priority="19046" operator="equal">
      <formula>$C$33</formula>
    </cfRule>
    <cfRule type="cellIs" dxfId="977" priority="19047" operator="equal">
      <formula>$C$32</formula>
    </cfRule>
    <cfRule type="cellIs" dxfId="976" priority="19048" operator="equal">
      <formula>$BB$23</formula>
    </cfRule>
    <cfRule type="cellIs" dxfId="975" priority="19049" operator="equal">
      <formula>#REF!</formula>
    </cfRule>
    <cfRule type="cellIs" dxfId="974" priority="19050" operator="equal">
      <formula>$BB$22</formula>
    </cfRule>
    <cfRule type="cellIs" dxfId="973" priority="19051" operator="equal">
      <formula>$BB$21</formula>
    </cfRule>
    <cfRule type="cellIs" dxfId="972" priority="19052" operator="equal">
      <formula>$BB$20</formula>
    </cfRule>
    <cfRule type="cellIs" dxfId="971" priority="19053" operator="equal">
      <formula>$BB$19</formula>
    </cfRule>
    <cfRule type="cellIs" dxfId="970" priority="19054" operator="equal">
      <formula>$BB$18</formula>
    </cfRule>
    <cfRule type="cellIs" dxfId="969" priority="19055" operator="equal">
      <formula>$BB$15</formula>
    </cfRule>
    <cfRule type="cellIs" dxfId="968" priority="19056" operator="equal">
      <formula>$BB$13</formula>
    </cfRule>
    <cfRule type="cellIs" dxfId="967" priority="19057" operator="equal">
      <formula>$BB$12</formula>
    </cfRule>
    <cfRule type="cellIs" dxfId="966" priority="19058" operator="equal">
      <formula>$BB$11</formula>
    </cfRule>
    <cfRule type="cellIs" dxfId="965" priority="19059" operator="equal">
      <formula>$BB$10</formula>
    </cfRule>
    <cfRule type="cellIs" dxfId="964" priority="19060" operator="equal">
      <formula>$BB$9</formula>
    </cfRule>
    <cfRule type="cellIs" dxfId="963" priority="19061" operator="equal">
      <formula>$BB$8</formula>
    </cfRule>
    <cfRule type="cellIs" dxfId="962" priority="19062" operator="equal">
      <formula>$BB$7</formula>
    </cfRule>
    <cfRule type="cellIs" dxfId="961" priority="19063" operator="equal">
      <formula>$BB$6</formula>
    </cfRule>
    <cfRule type="cellIs" dxfId="960" priority="19064" operator="equal">
      <formula>$AZ$23</formula>
    </cfRule>
    <cfRule type="cellIs" dxfId="959" priority="19065" operator="equal">
      <formula>#REF!</formula>
    </cfRule>
    <cfRule type="cellIs" dxfId="958" priority="19066" operator="equal">
      <formula>$AZ$22</formula>
    </cfRule>
    <cfRule type="cellIs" dxfId="957" priority="19067" operator="equal">
      <formula>$AZ$21</formula>
    </cfRule>
    <cfRule type="cellIs" dxfId="956" priority="19068" operator="equal">
      <formula>$AZ$20</formula>
    </cfRule>
    <cfRule type="cellIs" dxfId="955" priority="19069" operator="equal">
      <formula>$AZ$19</formula>
    </cfRule>
    <cfRule type="cellIs" dxfId="954" priority="19070" operator="equal">
      <formula>$AZ$18</formula>
    </cfRule>
    <cfRule type="cellIs" dxfId="953" priority="19071" operator="equal">
      <formula>$AZ$15</formula>
    </cfRule>
    <cfRule type="cellIs" dxfId="952" priority="19072" operator="equal">
      <formula>$AZ$13</formula>
    </cfRule>
  </conditionalFormatting>
  <conditionalFormatting sqref="K10:Q17">
    <cfRule type="cellIs" dxfId="951" priority="19661" operator="equal">
      <formula>$S$44</formula>
    </cfRule>
    <cfRule type="cellIs" dxfId="950" priority="19662" operator="equal">
      <formula>$S$43</formula>
    </cfRule>
    <cfRule type="cellIs" dxfId="949" priority="19663" operator="equal">
      <formula>$S$42</formula>
    </cfRule>
    <cfRule type="cellIs" dxfId="948" priority="19664" operator="equal">
      <formula>$S$41</formula>
    </cfRule>
    <cfRule type="cellIs" dxfId="947" priority="19665" operator="equal">
      <formula>$S$40</formula>
    </cfRule>
    <cfRule type="cellIs" dxfId="946" priority="19666" operator="equal">
      <formula>$S$39</formula>
    </cfRule>
    <cfRule type="cellIs" dxfId="945" priority="19667" operator="equal">
      <formula>$S$38</formula>
    </cfRule>
    <cfRule type="cellIs" dxfId="944" priority="19668" operator="equal">
      <formula>$S$37</formula>
    </cfRule>
    <cfRule type="cellIs" dxfId="943" priority="19669" operator="equal">
      <formula>$S$36</formula>
    </cfRule>
    <cfRule type="cellIs" dxfId="942" priority="19670" operator="equal">
      <formula>$S$35</formula>
    </cfRule>
    <cfRule type="cellIs" dxfId="941" priority="19671" operator="equal">
      <formula>$S$34</formula>
    </cfRule>
    <cfRule type="cellIs" dxfId="940" priority="19672" operator="equal">
      <formula>$S$33</formula>
    </cfRule>
    <cfRule type="cellIs" dxfId="939" priority="19673" operator="equal">
      <formula>$S$32</formula>
    </cfRule>
    <cfRule type="cellIs" dxfId="938" priority="19674" operator="equal">
      <formula>$C$44</formula>
    </cfRule>
    <cfRule type="cellIs" dxfId="937" priority="19675" operator="equal">
      <formula>$C$43</formula>
    </cfRule>
    <cfRule type="cellIs" dxfId="936" priority="19676" operator="equal">
      <formula>$C$42</formula>
    </cfRule>
    <cfRule type="cellIs" dxfId="935" priority="19677" operator="equal">
      <formula>$C$41</formula>
    </cfRule>
    <cfRule type="cellIs" dxfId="934" priority="19678" operator="equal">
      <formula>$C$40</formula>
    </cfRule>
    <cfRule type="cellIs" dxfId="933" priority="19679" operator="equal">
      <formula>$C$39</formula>
    </cfRule>
    <cfRule type="cellIs" dxfId="932" priority="19680" operator="equal">
      <formula>$C$38</formula>
    </cfRule>
    <cfRule type="cellIs" dxfId="931" priority="19681" operator="equal">
      <formula>$C$37</formula>
    </cfRule>
    <cfRule type="cellIs" dxfId="930" priority="19682" operator="equal">
      <formula>$C$36</formula>
    </cfRule>
    <cfRule type="cellIs" dxfId="929" priority="19683" operator="equal">
      <formula>$C$35</formula>
    </cfRule>
    <cfRule type="cellIs" dxfId="928" priority="19684" operator="equal">
      <formula>$C$34</formula>
    </cfRule>
    <cfRule type="cellIs" dxfId="927" priority="19685" operator="equal">
      <formula>$C$33</formula>
    </cfRule>
    <cfRule type="cellIs" dxfId="926" priority="19686" operator="equal">
      <formula>$C$32</formula>
    </cfRule>
    <cfRule type="cellIs" dxfId="925" priority="19687" operator="equal">
      <formula>#REF!</formula>
    </cfRule>
    <cfRule type="cellIs" dxfId="924" priority="19688" operator="equal">
      <formula>#REF!</formula>
    </cfRule>
    <cfRule type="cellIs" dxfId="923" priority="19689" operator="equal">
      <formula>$BB$22</formula>
    </cfRule>
    <cfRule type="cellIs" dxfId="922" priority="19690" operator="equal">
      <formula>$BB$21</formula>
    </cfRule>
    <cfRule type="cellIs" dxfId="921" priority="19691" operator="equal">
      <formula>$BB$20</formula>
    </cfRule>
    <cfRule type="cellIs" dxfId="920" priority="19692" operator="equal">
      <formula>$BB$19</formula>
    </cfRule>
    <cfRule type="cellIs" dxfId="919" priority="19693" operator="equal">
      <formula>$BB$18</formula>
    </cfRule>
    <cfRule type="cellIs" dxfId="918" priority="19694" operator="equal">
      <formula>$BB$15</formula>
    </cfRule>
    <cfRule type="cellIs" dxfId="917" priority="19695" operator="equal">
      <formula>$BB$13</formula>
    </cfRule>
    <cfRule type="cellIs" dxfId="916" priority="19696" operator="equal">
      <formula>$BB$12</formula>
    </cfRule>
    <cfRule type="cellIs" dxfId="915" priority="19697" operator="equal">
      <formula>$BB$11</formula>
    </cfRule>
    <cfRule type="cellIs" dxfId="914" priority="19698" operator="equal">
      <formula>$BB$10</formula>
    </cfRule>
    <cfRule type="cellIs" dxfId="913" priority="19699" operator="equal">
      <formula>$BB$9</formula>
    </cfRule>
    <cfRule type="cellIs" dxfId="912" priority="19700" operator="equal">
      <formula>$BB$8</formula>
    </cfRule>
    <cfRule type="cellIs" dxfId="911" priority="19701" operator="equal">
      <formula>$BB$7</formula>
    </cfRule>
    <cfRule type="cellIs" dxfId="910" priority="19702" operator="equal">
      <formula>$BB$6</formula>
    </cfRule>
    <cfRule type="cellIs" dxfId="909" priority="19941" operator="equal">
      <formula>$AZ$23</formula>
    </cfRule>
    <cfRule type="cellIs" dxfId="908" priority="19942" operator="equal">
      <formula>#REF!</formula>
    </cfRule>
    <cfRule type="cellIs" dxfId="907" priority="19943" operator="equal">
      <formula>$AZ$22</formula>
    </cfRule>
    <cfRule type="cellIs" dxfId="906" priority="19944" operator="equal">
      <formula>$AZ$21</formula>
    </cfRule>
    <cfRule type="cellIs" dxfId="905" priority="19945" operator="equal">
      <formula>$AZ$20</formula>
    </cfRule>
    <cfRule type="cellIs" dxfId="904" priority="19946" operator="equal">
      <formula>$AZ$19</formula>
    </cfRule>
    <cfRule type="cellIs" dxfId="903" priority="19947" operator="equal">
      <formula>$AZ$18</formula>
    </cfRule>
    <cfRule type="cellIs" dxfId="902" priority="19948" operator="equal">
      <formula>$AZ$15</formula>
    </cfRule>
    <cfRule type="cellIs" dxfId="901" priority="19949" operator="equal">
      <formula>$AZ$13</formula>
    </cfRule>
    <cfRule type="cellIs" dxfId="900" priority="19950" operator="equal">
      <formula>$AZ$12</formula>
    </cfRule>
    <cfRule type="cellIs" dxfId="899" priority="19951" operator="equal">
      <formula>$AZ$11</formula>
    </cfRule>
    <cfRule type="cellIs" dxfId="898" priority="19952" operator="equal">
      <formula>$AZ$10</formula>
    </cfRule>
    <cfRule type="cellIs" dxfId="897" priority="19953" operator="equal">
      <formula>$AZ$9</formula>
    </cfRule>
    <cfRule type="cellIs" dxfId="896" priority="19954" operator="equal">
      <formula>$AZ$8</formula>
    </cfRule>
    <cfRule type="cellIs" dxfId="895" priority="19955" operator="equal">
      <formula>$AZ$7</formula>
    </cfRule>
    <cfRule type="cellIs" dxfId="894" priority="19956" operator="equal">
      <formula>$AZ$6</formula>
    </cfRule>
    <cfRule type="cellIs" dxfId="893" priority="19957" operator="equal">
      <formula>$S$45</formula>
    </cfRule>
  </conditionalFormatting>
  <conditionalFormatting sqref="K10:Q17">
    <cfRule type="cellIs" dxfId="892" priority="19958" operator="equal">
      <formula>$AZ$12</formula>
    </cfRule>
    <cfRule type="cellIs" dxfId="891" priority="19959" operator="equal">
      <formula>$AZ$11</formula>
    </cfRule>
    <cfRule type="cellIs" dxfId="890" priority="19960" operator="equal">
      <formula>$AZ$10</formula>
    </cfRule>
    <cfRule type="cellIs" dxfId="889" priority="19961" operator="equal">
      <formula>$AZ$9</formula>
    </cfRule>
    <cfRule type="cellIs" dxfId="888" priority="19962" operator="equal">
      <formula>$AZ$8</formula>
    </cfRule>
    <cfRule type="cellIs" dxfId="887" priority="19963" operator="equal">
      <formula>$AZ$7</formula>
    </cfRule>
    <cfRule type="cellIs" dxfId="886" priority="19964" operator="equal">
      <formula>$AZ$6</formula>
    </cfRule>
    <cfRule type="cellIs" dxfId="885" priority="19965" operator="equal">
      <formula>$S$45</formula>
    </cfRule>
    <cfRule type="cellIs" dxfId="884" priority="19966" operator="equal">
      <formula>$S$44</formula>
    </cfRule>
    <cfRule type="cellIs" dxfId="883" priority="19967" operator="equal">
      <formula>$S$43</formula>
    </cfRule>
    <cfRule type="cellIs" dxfId="882" priority="19968" operator="equal">
      <formula>$S$42</formula>
    </cfRule>
    <cfRule type="cellIs" dxfId="881" priority="19969" operator="equal">
      <formula>$S$41</formula>
    </cfRule>
    <cfRule type="cellIs" dxfId="880" priority="19970" operator="equal">
      <formula>$S$40</formula>
    </cfRule>
    <cfRule type="cellIs" dxfId="879" priority="19971" operator="equal">
      <formula>$S$39</formula>
    </cfRule>
    <cfRule type="cellIs" dxfId="878" priority="19972" operator="equal">
      <formula>$S$38</formula>
    </cfRule>
    <cfRule type="cellIs" dxfId="877" priority="19973" operator="equal">
      <formula>$S$37</formula>
    </cfRule>
    <cfRule type="cellIs" dxfId="876" priority="19974" operator="equal">
      <formula>$S$36</formula>
    </cfRule>
    <cfRule type="cellIs" dxfId="875" priority="19975" operator="equal">
      <formula>$S$35</formula>
    </cfRule>
    <cfRule type="cellIs" dxfId="874" priority="19976" operator="equal">
      <formula>$S$34</formula>
    </cfRule>
    <cfRule type="cellIs" dxfId="873" priority="19977" operator="equal">
      <formula>$S$33</formula>
    </cfRule>
    <cfRule type="cellIs" dxfId="872" priority="19978" operator="equal">
      <formula>$S$32</formula>
    </cfRule>
    <cfRule type="cellIs" dxfId="871" priority="19979" operator="equal">
      <formula>$C$44</formula>
    </cfRule>
    <cfRule type="cellIs" dxfId="870" priority="19980" operator="equal">
      <formula>$C$43</formula>
    </cfRule>
    <cfRule type="cellIs" dxfId="869" priority="19981" operator="equal">
      <formula>$C$42</formula>
    </cfRule>
    <cfRule type="cellIs" dxfId="868" priority="19982" operator="equal">
      <formula>$C$41</formula>
    </cfRule>
    <cfRule type="cellIs" dxfId="867" priority="19983" operator="equal">
      <formula>$C$40</formula>
    </cfRule>
    <cfRule type="cellIs" dxfId="866" priority="19984" operator="equal">
      <formula>$C$39</formula>
    </cfRule>
    <cfRule type="cellIs" dxfId="865" priority="19985" operator="equal">
      <formula>$C$38</formula>
    </cfRule>
    <cfRule type="cellIs" dxfId="864" priority="19986" operator="equal">
      <formula>$C$37</formula>
    </cfRule>
    <cfRule type="cellIs" dxfId="863" priority="19987" operator="equal">
      <formula>$C$36</formula>
    </cfRule>
    <cfRule type="cellIs" dxfId="862" priority="19988" operator="equal">
      <formula>$C$35</formula>
    </cfRule>
    <cfRule type="cellIs" dxfId="861" priority="19989" operator="equal">
      <formula>$C$34</formula>
    </cfRule>
    <cfRule type="cellIs" dxfId="860" priority="19990" operator="equal">
      <formula>$C$33</formula>
    </cfRule>
    <cfRule type="cellIs" dxfId="859" priority="19991" operator="equal">
      <formula>$C$32</formula>
    </cfRule>
    <cfRule type="cellIs" dxfId="858" priority="19992" operator="equal">
      <formula>$BB$23</formula>
    </cfRule>
    <cfRule type="cellIs" dxfId="857" priority="19993" operator="equal">
      <formula>#REF!</formula>
    </cfRule>
    <cfRule type="cellIs" dxfId="856" priority="19994" operator="equal">
      <formula>$BB$22</formula>
    </cfRule>
    <cfRule type="cellIs" dxfId="855" priority="19995" operator="equal">
      <formula>$BB$21</formula>
    </cfRule>
    <cfRule type="cellIs" dxfId="854" priority="19996" operator="equal">
      <formula>$BB$20</formula>
    </cfRule>
    <cfRule type="cellIs" dxfId="853" priority="19997" operator="equal">
      <formula>$BB$19</formula>
    </cfRule>
    <cfRule type="cellIs" dxfId="852" priority="19998" operator="equal">
      <formula>$BB$18</formula>
    </cfRule>
    <cfRule type="cellIs" dxfId="851" priority="19999" operator="equal">
      <formula>$BB$15</formula>
    </cfRule>
    <cfRule type="cellIs" dxfId="850" priority="20000" operator="equal">
      <formula>$BB$13</formula>
    </cfRule>
    <cfRule type="cellIs" dxfId="849" priority="20001" operator="equal">
      <formula>$BB$12</formula>
    </cfRule>
    <cfRule type="cellIs" dxfId="848" priority="20002" operator="equal">
      <formula>$BB$11</formula>
    </cfRule>
    <cfRule type="cellIs" dxfId="847" priority="20003" operator="equal">
      <formula>$BB$10</formula>
    </cfRule>
    <cfRule type="cellIs" dxfId="846" priority="20004" operator="equal">
      <formula>$BB$9</formula>
    </cfRule>
    <cfRule type="cellIs" dxfId="845" priority="20005" operator="equal">
      <formula>$BB$8</formula>
    </cfRule>
    <cfRule type="cellIs" dxfId="844" priority="20006" operator="equal">
      <formula>$BB$7</formula>
    </cfRule>
    <cfRule type="cellIs" dxfId="843" priority="20007" operator="equal">
      <formula>$BB$6</formula>
    </cfRule>
    <cfRule type="cellIs" dxfId="842" priority="20008" operator="equal">
      <formula>$AZ$24</formula>
    </cfRule>
    <cfRule type="cellIs" dxfId="841" priority="20009" operator="equal">
      <formula>$AZ$23</formula>
    </cfRule>
    <cfRule type="cellIs" dxfId="840" priority="20010" operator="equal">
      <formula>$AZ$22</formula>
    </cfRule>
    <cfRule type="cellIs" dxfId="839" priority="20011" operator="equal">
      <formula>$AZ$21</formula>
    </cfRule>
    <cfRule type="cellIs" dxfId="838" priority="20012" operator="equal">
      <formula>$AZ$20</formula>
    </cfRule>
    <cfRule type="cellIs" dxfId="837" priority="20013" operator="equal">
      <formula>$AZ$19</formula>
    </cfRule>
    <cfRule type="cellIs" dxfId="836" priority="20014" operator="equal">
      <formula>$AZ$18</formula>
    </cfRule>
    <cfRule type="cellIs" dxfId="835" priority="20015" operator="equal">
      <formula>$AZ$15</formula>
    </cfRule>
    <cfRule type="cellIs" dxfId="834" priority="20016" operator="equal">
      <formula>$AZ$13</formula>
    </cfRule>
  </conditionalFormatting>
  <conditionalFormatting sqref="K10:Q17">
    <cfRule type="cellIs" dxfId="833" priority="20605" operator="equal">
      <formula>$S$44</formula>
    </cfRule>
    <cfRule type="cellIs" dxfId="832" priority="20606" operator="equal">
      <formula>$S$43</formula>
    </cfRule>
    <cfRule type="cellIs" dxfId="831" priority="20607" operator="equal">
      <formula>$S$42</formula>
    </cfRule>
    <cfRule type="cellIs" dxfId="830" priority="20608" operator="equal">
      <formula>$S$41</formula>
    </cfRule>
    <cfRule type="cellIs" dxfId="829" priority="20609" operator="equal">
      <formula>$S$40</formula>
    </cfRule>
    <cfRule type="cellIs" dxfId="828" priority="20610" operator="equal">
      <formula>$S$39</formula>
    </cfRule>
    <cfRule type="cellIs" dxfId="827" priority="20611" operator="equal">
      <formula>$S$38</formula>
    </cfRule>
    <cfRule type="cellIs" dxfId="826" priority="20612" operator="equal">
      <formula>$S$37</formula>
    </cfRule>
    <cfRule type="cellIs" dxfId="825" priority="20613" operator="equal">
      <formula>$S$36</formula>
    </cfRule>
    <cfRule type="cellIs" dxfId="824" priority="20614" operator="equal">
      <formula>$S$35</formula>
    </cfRule>
    <cfRule type="cellIs" dxfId="823" priority="20615" operator="equal">
      <formula>$S$34</formula>
    </cfRule>
    <cfRule type="cellIs" dxfId="822" priority="20616" operator="equal">
      <formula>$S$33</formula>
    </cfRule>
    <cfRule type="cellIs" dxfId="821" priority="20617" operator="equal">
      <formula>$S$32</formula>
    </cfRule>
    <cfRule type="cellIs" dxfId="820" priority="20618" operator="equal">
      <formula>$C$44</formula>
    </cfRule>
    <cfRule type="cellIs" dxfId="819" priority="20619" operator="equal">
      <formula>$C$43</formula>
    </cfRule>
    <cfRule type="cellIs" dxfId="818" priority="20620" operator="equal">
      <formula>$C$42</formula>
    </cfRule>
    <cfRule type="cellIs" dxfId="817" priority="20621" operator="equal">
      <formula>$C$41</formula>
    </cfRule>
    <cfRule type="cellIs" dxfId="816" priority="20622" operator="equal">
      <formula>$C$40</formula>
    </cfRule>
    <cfRule type="cellIs" dxfId="815" priority="20623" operator="equal">
      <formula>$C$39</formula>
    </cfRule>
    <cfRule type="cellIs" dxfId="814" priority="20624" operator="equal">
      <formula>$C$38</formula>
    </cfRule>
    <cfRule type="cellIs" dxfId="813" priority="20625" operator="equal">
      <formula>$C$37</formula>
    </cfRule>
    <cfRule type="cellIs" dxfId="812" priority="20626" operator="equal">
      <formula>$C$36</formula>
    </cfRule>
    <cfRule type="cellIs" dxfId="811" priority="20627" operator="equal">
      <formula>$C$35</formula>
    </cfRule>
    <cfRule type="cellIs" dxfId="810" priority="20628" operator="equal">
      <formula>$C$34</formula>
    </cfRule>
    <cfRule type="cellIs" dxfId="809" priority="20629" operator="equal">
      <formula>$C$33</formula>
    </cfRule>
    <cfRule type="cellIs" dxfId="808" priority="20630" operator="equal">
      <formula>$C$32</formula>
    </cfRule>
    <cfRule type="cellIs" dxfId="807" priority="20631" operator="equal">
      <formula>$BB$24</formula>
    </cfRule>
    <cfRule type="cellIs" dxfId="806" priority="20632" operator="equal">
      <formula>#REF!</formula>
    </cfRule>
    <cfRule type="cellIs" dxfId="805" priority="20633" operator="equal">
      <formula>$BB$22</formula>
    </cfRule>
    <cfRule type="cellIs" dxfId="804" priority="20634" operator="equal">
      <formula>$BB$21</formula>
    </cfRule>
    <cfRule type="cellIs" dxfId="803" priority="20635" operator="equal">
      <formula>$BB$20</formula>
    </cfRule>
    <cfRule type="cellIs" dxfId="802" priority="20636" operator="equal">
      <formula>$BB$19</formula>
    </cfRule>
    <cfRule type="cellIs" dxfId="801" priority="20637" operator="equal">
      <formula>$BB$18</formula>
    </cfRule>
    <cfRule type="cellIs" dxfId="800" priority="20638" operator="equal">
      <formula>$BB$15</formula>
    </cfRule>
    <cfRule type="cellIs" dxfId="799" priority="20639" operator="equal">
      <formula>$BB$13</formula>
    </cfRule>
    <cfRule type="cellIs" dxfId="798" priority="20640" operator="equal">
      <formula>$BB$12</formula>
    </cfRule>
    <cfRule type="cellIs" dxfId="797" priority="20641" operator="equal">
      <formula>$BB$11</formula>
    </cfRule>
    <cfRule type="cellIs" dxfId="796" priority="20642" operator="equal">
      <formula>$BB$10</formula>
    </cfRule>
    <cfRule type="cellIs" dxfId="795" priority="20643" operator="equal">
      <formula>$BB$9</formula>
    </cfRule>
    <cfRule type="cellIs" dxfId="794" priority="20644" operator="equal">
      <formula>$BB$8</formula>
    </cfRule>
    <cfRule type="cellIs" dxfId="793" priority="20645" operator="equal">
      <formula>$BB$7</formula>
    </cfRule>
    <cfRule type="cellIs" dxfId="792" priority="20646" operator="equal">
      <formula>$BB$6</formula>
    </cfRule>
    <cfRule type="cellIs" dxfId="791" priority="20885" operator="equal">
      <formula>$AZ$23</formula>
    </cfRule>
    <cfRule type="cellIs" dxfId="790" priority="20886" operator="equal">
      <formula>#REF!</formula>
    </cfRule>
    <cfRule type="cellIs" dxfId="789" priority="20887" operator="equal">
      <formula>$AZ$22</formula>
    </cfRule>
    <cfRule type="cellIs" dxfId="788" priority="20888" operator="equal">
      <formula>$AZ$21</formula>
    </cfRule>
    <cfRule type="cellIs" dxfId="787" priority="20889" operator="equal">
      <formula>$AZ$20</formula>
    </cfRule>
    <cfRule type="cellIs" dxfId="786" priority="20890" operator="equal">
      <formula>$AZ$19</formula>
    </cfRule>
    <cfRule type="cellIs" dxfId="785" priority="20891" operator="equal">
      <formula>$AZ$18</formula>
    </cfRule>
    <cfRule type="cellIs" dxfId="784" priority="20892" operator="equal">
      <formula>$AZ$15</formula>
    </cfRule>
    <cfRule type="cellIs" dxfId="783" priority="20893" operator="equal">
      <formula>$AZ$13</formula>
    </cfRule>
    <cfRule type="cellIs" dxfId="782" priority="20894" operator="equal">
      <formula>$AZ$12</formula>
    </cfRule>
    <cfRule type="cellIs" dxfId="781" priority="20895" operator="equal">
      <formula>$AZ$11</formula>
    </cfRule>
    <cfRule type="cellIs" dxfId="780" priority="20896" operator="equal">
      <formula>$AZ$10</formula>
    </cfRule>
    <cfRule type="cellIs" dxfId="779" priority="20897" operator="equal">
      <formula>$AZ$9</formula>
    </cfRule>
    <cfRule type="cellIs" dxfId="778" priority="20898" operator="equal">
      <formula>$AZ$8</formula>
    </cfRule>
    <cfRule type="cellIs" dxfId="777" priority="20899" operator="equal">
      <formula>$AZ$7</formula>
    </cfRule>
    <cfRule type="cellIs" dxfId="776" priority="20900" operator="equal">
      <formula>$AZ$6</formula>
    </cfRule>
    <cfRule type="cellIs" dxfId="775" priority="20901" operator="equal">
      <formula>$S$45</formula>
    </cfRule>
  </conditionalFormatting>
  <conditionalFormatting sqref="BC23 C10:I17 S21:Y27 AA19:AG19 AI19:AO19 C20 S10:Y17 AI21:AO27 AQ10:AW17 AQ21:AW27 C21:I27 K21:Q27 AQ19:AW19 AI10:AO17 AA10:AG17 K10:Q17 AA21:AG27">
    <cfRule type="cellIs" dxfId="774" priority="20902" operator="equal">
      <formula>$C$39</formula>
    </cfRule>
    <cfRule type="cellIs" dxfId="773" priority="20902" operator="equal">
      <formula>$C$44</formula>
    </cfRule>
    <cfRule type="cellIs" dxfId="772" priority="20902" operator="equal">
      <formula>$S$32</formula>
    </cfRule>
    <cfRule type="cellIs" dxfId="771" priority="20902" operator="equal">
      <formula>$S$33</formula>
    </cfRule>
    <cfRule type="cellIs" dxfId="770" priority="20902" operator="equal">
      <formula>$S$34</formula>
    </cfRule>
    <cfRule type="cellIs" dxfId="769" priority="20902" operator="equal">
      <formula>$S$35</formula>
    </cfRule>
    <cfRule type="cellIs" dxfId="768" priority="20902" operator="equal">
      <formula>$C$32</formula>
    </cfRule>
    <cfRule type="cellIs" dxfId="767" priority="20902" operator="equal">
      <formula>$C$33</formula>
    </cfRule>
    <cfRule type="cellIs" dxfId="766" priority="20902" operator="equal">
      <formula>$C$34</formula>
    </cfRule>
    <cfRule type="cellIs" dxfId="765" priority="20902" operator="equal">
      <formula>$C$35</formula>
    </cfRule>
    <cfRule type="cellIs" dxfId="764" priority="20902" operator="equal">
      <formula>$C$36</formula>
    </cfRule>
    <cfRule type="cellIs" dxfId="763" priority="20902" operator="equal">
      <formula>$C$37</formula>
    </cfRule>
    <cfRule type="cellIs" dxfId="762" priority="20902" operator="equal">
      <formula>$C$38</formula>
    </cfRule>
    <cfRule type="cellIs" dxfId="761" priority="20902" operator="equal">
      <formula>$C$40</formula>
    </cfRule>
    <cfRule type="cellIs" dxfId="760" priority="20902" operator="equal">
      <formula>$C$41</formula>
    </cfRule>
    <cfRule type="cellIs" dxfId="759" priority="20902" operator="equal">
      <formula>$C$42</formula>
    </cfRule>
    <cfRule type="cellIs" dxfId="758" priority="20902" operator="equal">
      <formula>$C$43</formula>
    </cfRule>
    <cfRule type="cellIs" dxfId="757" priority="20944" operator="equal">
      <formula>$BB$21</formula>
    </cfRule>
    <cfRule type="cellIs" dxfId="756" priority="20945" operator="equal">
      <formula>$BB$20</formula>
    </cfRule>
    <cfRule type="cellIs" dxfId="755" priority="20946" operator="equal">
      <formula>$BB$19</formula>
    </cfRule>
    <cfRule type="cellIs" dxfId="754" priority="20947" operator="equal">
      <formula>$BB$18</formula>
    </cfRule>
    <cfRule type="cellIs" dxfId="753" priority="20948" operator="equal">
      <formula>$BB$17</formula>
    </cfRule>
    <cfRule type="cellIs" dxfId="752" priority="20949" operator="equal">
      <formula>$BB$16</formula>
    </cfRule>
    <cfRule type="cellIs" dxfId="751" priority="20950" operator="equal">
      <formula>$BB$15</formula>
    </cfRule>
    <cfRule type="cellIs" dxfId="750" priority="20951" operator="equal">
      <formula>#REF!</formula>
    </cfRule>
    <cfRule type="cellIs" dxfId="749" priority="20952" operator="equal">
      <formula>$BB$13</formula>
    </cfRule>
    <cfRule type="cellIs" dxfId="748" priority="20953" operator="equal">
      <formula>$BB$12</formula>
    </cfRule>
    <cfRule type="cellIs" dxfId="747" priority="20954" operator="equal">
      <formula>$BB$11</formula>
    </cfRule>
    <cfRule type="cellIs" dxfId="746" priority="20955" operator="equal">
      <formula>$BB$10</formula>
    </cfRule>
    <cfRule type="cellIs" dxfId="745" priority="20956" operator="equal">
      <formula>$BB$9</formula>
    </cfRule>
    <cfRule type="cellIs" dxfId="744" priority="20957" operator="equal">
      <formula>$BB$8</formula>
    </cfRule>
    <cfRule type="cellIs" dxfId="743" priority="20958" operator="equal">
      <formula>$BB$7</formula>
    </cfRule>
    <cfRule type="cellIs" dxfId="742" priority="20959" operator="equal">
      <formula>$BB$6</formula>
    </cfRule>
    <cfRule type="cellIs" dxfId="741" priority="20960" operator="equal">
      <formula>$AZ$21</formula>
    </cfRule>
    <cfRule type="cellIs" dxfId="740" priority="20961" operator="equal">
      <formula>$AZ$20</formula>
    </cfRule>
    <cfRule type="cellIs" dxfId="739" priority="20962" operator="equal">
      <formula>$AZ$19</formula>
    </cfRule>
    <cfRule type="cellIs" dxfId="738" priority="20963" operator="equal">
      <formula>$AZ$18</formula>
    </cfRule>
    <cfRule type="cellIs" dxfId="737" priority="20964" operator="equal">
      <formula>$AZ$17</formula>
    </cfRule>
    <cfRule type="cellIs" dxfId="736" priority="20965" operator="equal">
      <formula>$AZ$16</formula>
    </cfRule>
    <cfRule type="cellIs" dxfId="735" priority="20966" operator="equal">
      <formula>$AZ$15</formula>
    </cfRule>
    <cfRule type="cellIs" dxfId="734" priority="20967" operator="equal">
      <formula>#REF!</formula>
    </cfRule>
    <cfRule type="cellIs" dxfId="733" priority="20968" operator="equal">
      <formula>$AZ$13</formula>
    </cfRule>
    <cfRule type="cellIs" dxfId="732" priority="20969" operator="equal">
      <formula>$AZ$12</formula>
    </cfRule>
    <cfRule type="cellIs" dxfId="731" priority="20970" operator="equal">
      <formula>$AZ$11</formula>
    </cfRule>
    <cfRule type="cellIs" dxfId="730" priority="20971" operator="equal">
      <formula>$AZ$10</formula>
    </cfRule>
    <cfRule type="cellIs" dxfId="729" priority="20972" operator="equal">
      <formula>$AZ$9</formula>
    </cfRule>
    <cfRule type="cellIs" dxfId="728" priority="20973" operator="equal">
      <formula>$AZ$8</formula>
    </cfRule>
    <cfRule type="cellIs" dxfId="727" priority="20974" operator="equal">
      <formula>$AZ$7</formula>
    </cfRule>
    <cfRule type="cellIs" dxfId="726" priority="20975" operator="equal">
      <formula>$AZ$6</formula>
    </cfRule>
    <cfRule type="cellIs" dxfId="725" priority="20976" operator="equal">
      <formula>$S$45</formula>
    </cfRule>
    <cfRule type="cellIs" dxfId="724" priority="20977" operator="equal">
      <formula>$S$44</formula>
    </cfRule>
    <cfRule type="cellIs" dxfId="723" priority="20978" operator="equal">
      <formula>$S$43</formula>
    </cfRule>
    <cfRule type="cellIs" dxfId="722" priority="20979" operator="equal">
      <formula>$S$42</formula>
    </cfRule>
    <cfRule type="cellIs" dxfId="721" priority="20980" operator="equal">
      <formula>$S$41</formula>
    </cfRule>
    <cfRule type="cellIs" dxfId="720" priority="20981" operator="equal">
      <formula>$S$40</formula>
    </cfRule>
    <cfRule type="cellIs" dxfId="719" priority="20982" operator="equal">
      <formula>$S$39</formula>
    </cfRule>
    <cfRule type="cellIs" dxfId="718" priority="20983" operator="equal">
      <formula>$S$38</formula>
    </cfRule>
    <cfRule type="cellIs" dxfId="717" priority="20984" operator="equal">
      <formula>$S$37</formula>
    </cfRule>
    <cfRule type="cellIs" dxfId="716" priority="20985" operator="equal">
      <formula>$S$36</formula>
    </cfRule>
  </conditionalFormatting>
  <conditionalFormatting sqref="C10:I17 S21:Y27 AA19:AG19 AI19:AO19 C20 S10:Y17 AI21:AO27 AQ10:AW17 AQ21:AW27 C21:I27 K21:Q27 AQ19:AW19 AI10:AO17 AA10:AG17 K10:Q17">
    <cfRule type="cellIs" dxfId="715" priority="20986" operator="equal">
      <formula>$S$35</formula>
    </cfRule>
    <cfRule type="cellIs" dxfId="714" priority="20986" operator="equal">
      <formula>$S$40</formula>
    </cfRule>
    <cfRule type="cellIs" dxfId="713" priority="20986" operator="equal">
      <formula>$S$41</formula>
    </cfRule>
    <cfRule type="cellIs" dxfId="712" priority="20986" operator="equal">
      <formula>$S$42</formula>
    </cfRule>
    <cfRule type="cellIs" dxfId="711" priority="20986" operator="equal">
      <formula>$S$43</formula>
    </cfRule>
    <cfRule type="cellIs" dxfId="710" priority="20986" operator="equal">
      <formula>$S$44</formula>
    </cfRule>
    <cfRule type="cellIs" dxfId="709" priority="20986" operator="equal">
      <formula>$C$41</formula>
    </cfRule>
    <cfRule type="cellIs" dxfId="708" priority="20986" operator="equal">
      <formula>$C$42</formula>
    </cfRule>
    <cfRule type="cellIs" dxfId="707" priority="20986" operator="equal">
      <formula>$C$43</formula>
    </cfRule>
    <cfRule type="cellIs" dxfId="706" priority="20986" operator="equal">
      <formula>$C$44</formula>
    </cfRule>
    <cfRule type="cellIs" dxfId="705" priority="20986" operator="equal">
      <formula>$S$32</formula>
    </cfRule>
    <cfRule type="cellIs" dxfId="704" priority="20986" operator="equal">
      <formula>$S$33</formula>
    </cfRule>
    <cfRule type="cellIs" dxfId="703" priority="20986" operator="equal">
      <formula>$S$34</formula>
    </cfRule>
    <cfRule type="cellIs" dxfId="702" priority="20986" operator="equal">
      <formula>$S$36</formula>
    </cfRule>
    <cfRule type="cellIs" dxfId="701" priority="20986" operator="equal">
      <formula>$S$37</formula>
    </cfRule>
    <cfRule type="cellIs" dxfId="700" priority="20986" operator="equal">
      <formula>$S$38</formula>
    </cfRule>
    <cfRule type="cellIs" dxfId="699" priority="20986" operator="equal">
      <formula>$S$39</formula>
    </cfRule>
    <cfRule type="cellIs" dxfId="698" priority="21658" operator="equal">
      <formula>$C$40</formula>
    </cfRule>
    <cfRule type="cellIs" dxfId="697" priority="21659" operator="equal">
      <formula>$C$39</formula>
    </cfRule>
    <cfRule type="cellIs" dxfId="696" priority="21660" operator="equal">
      <formula>$C$38</formula>
    </cfRule>
    <cfRule type="cellIs" dxfId="695" priority="21661" operator="equal">
      <formula>$C$37</formula>
    </cfRule>
    <cfRule type="cellIs" dxfId="694" priority="21662" operator="equal">
      <formula>$C$36</formula>
    </cfRule>
    <cfRule type="cellIs" dxfId="693" priority="21663" operator="equal">
      <formula>$C$35</formula>
    </cfRule>
    <cfRule type="cellIs" dxfId="692" priority="21664" operator="equal">
      <formula>$C$34</formula>
    </cfRule>
    <cfRule type="cellIs" dxfId="691" priority="21665" operator="equal">
      <formula>$C$33</formula>
    </cfRule>
    <cfRule type="cellIs" dxfId="690" priority="21666" operator="equal">
      <formula>$C$32</formula>
    </cfRule>
    <cfRule type="cellIs" dxfId="689" priority="21667" operator="equal">
      <formula>#REF!</formula>
    </cfRule>
    <cfRule type="cellIs" dxfId="688" priority="21668" operator="equal">
      <formula>$BB$22</formula>
    </cfRule>
    <cfRule type="cellIs" dxfId="687" priority="21669" operator="equal">
      <formula>$BB$21</formula>
    </cfRule>
    <cfRule type="cellIs" dxfId="686" priority="21670" operator="equal">
      <formula>$BB$20</formula>
    </cfRule>
    <cfRule type="cellIs" dxfId="685" priority="21671" operator="equal">
      <formula>$BB$19</formula>
    </cfRule>
    <cfRule type="cellIs" dxfId="684" priority="21672" operator="equal">
      <formula>$BB$18</formula>
    </cfRule>
    <cfRule type="cellIs" dxfId="683" priority="21673" operator="equal">
      <formula>$BB$17</formula>
    </cfRule>
    <cfRule type="cellIs" dxfId="682" priority="21674" operator="equal">
      <formula>#REF!</formula>
    </cfRule>
    <cfRule type="cellIs" dxfId="681" priority="21675" operator="equal">
      <formula>$BB$13</formula>
    </cfRule>
    <cfRule type="cellIs" dxfId="680" priority="21676" operator="equal">
      <formula>$BB$12</formula>
    </cfRule>
    <cfRule type="cellIs" dxfId="679" priority="21677" operator="equal">
      <formula>$BB$11</formula>
    </cfRule>
    <cfRule type="cellIs" dxfId="678" priority="21678" operator="equal">
      <formula>$BB$10</formula>
    </cfRule>
    <cfRule type="cellIs" dxfId="677" priority="21679" operator="equal">
      <formula>$BB$9</formula>
    </cfRule>
    <cfRule type="cellIs" dxfId="676" priority="21680" operator="equal">
      <formula>$BB$8</formula>
    </cfRule>
    <cfRule type="cellIs" dxfId="675" priority="21681" operator="equal">
      <formula>$BB$7</formula>
    </cfRule>
    <cfRule type="cellIs" dxfId="674" priority="21682" operator="equal">
      <formula>$BB$6</formula>
    </cfRule>
    <cfRule type="cellIs" dxfId="673" priority="21683" operator="equal">
      <formula>$AZ$23</formula>
    </cfRule>
    <cfRule type="cellIs" dxfId="672" priority="21684" operator="equal">
      <formula>#REF!</formula>
    </cfRule>
    <cfRule type="cellIs" dxfId="671" priority="21685" operator="equal">
      <formula>$AZ$21</formula>
    </cfRule>
    <cfRule type="cellIs" dxfId="670" priority="21686" operator="equal">
      <formula>$AZ$20</formula>
    </cfRule>
    <cfRule type="cellIs" dxfId="669" priority="21687" operator="equal">
      <formula>$AZ$19</formula>
    </cfRule>
    <cfRule type="cellIs" dxfId="668" priority="21688" operator="equal">
      <formula>$AZ$18</formula>
    </cfRule>
    <cfRule type="cellIs" dxfId="667" priority="21689" operator="equal">
      <formula>$AZ$17</formula>
    </cfRule>
    <cfRule type="cellIs" dxfId="666" priority="21690" operator="equal">
      <formula>#REF!</formula>
    </cfRule>
    <cfRule type="cellIs" dxfId="665" priority="21691" operator="equal">
      <formula>$AZ$13</formula>
    </cfRule>
    <cfRule type="cellIs" dxfId="664" priority="21692" operator="equal">
      <formula>$AZ$12</formula>
    </cfRule>
    <cfRule type="cellIs" dxfId="663" priority="21693" operator="equal">
      <formula>$AZ$11</formula>
    </cfRule>
    <cfRule type="cellIs" dxfId="662" priority="21694" operator="equal">
      <formula>$AZ$10</formula>
    </cfRule>
    <cfRule type="cellIs" dxfId="661" priority="21695" operator="equal">
      <formula>$AZ$9</formula>
    </cfRule>
    <cfRule type="cellIs" dxfId="660" priority="21696" operator="equal">
      <formula>$AZ$8</formula>
    </cfRule>
    <cfRule type="cellIs" dxfId="659" priority="21697" operator="equal">
      <formula>$AZ$7</formula>
    </cfRule>
    <cfRule type="cellIs" dxfId="658" priority="21698" operator="equal">
      <formula>$AZ$6</formula>
    </cfRule>
    <cfRule type="cellIs" dxfId="657" priority="21699" operator="equal">
      <formula>$S$45</formula>
    </cfRule>
  </conditionalFormatting>
  <conditionalFormatting sqref="C10:I17 S21:Y27 AA19:AG19 AI19:AO19 C20 S10:Y17 AI21:AO27 AQ10:AW17 AQ21:AW27 C21:I27 K21:Q27 AQ19:AW19 AI10:AO17 AA10:AG17 K10:Q17">
    <cfRule type="cellIs" dxfId="656" priority="21700" operator="equal">
      <formula>$S$35</formula>
    </cfRule>
    <cfRule type="cellIs" dxfId="655" priority="21700" operator="equal">
      <formula>$S$40</formula>
    </cfRule>
    <cfRule type="cellIs" dxfId="654" priority="21700" operator="equal">
      <formula>$S$41</formula>
    </cfRule>
    <cfRule type="cellIs" dxfId="653" priority="21700" operator="equal">
      <formula>$S$42</formula>
    </cfRule>
    <cfRule type="cellIs" dxfId="652" priority="21700" operator="equal">
      <formula>$S$43</formula>
    </cfRule>
    <cfRule type="cellIs" dxfId="651" priority="21700" operator="equal">
      <formula>$S$44</formula>
    </cfRule>
    <cfRule type="cellIs" dxfId="650" priority="21700" operator="equal">
      <formula>$C$41</formula>
    </cfRule>
    <cfRule type="cellIs" dxfId="649" priority="21700" operator="equal">
      <formula>$C$42</formula>
    </cfRule>
    <cfRule type="cellIs" dxfId="648" priority="21700" operator="equal">
      <formula>$C$43</formula>
    </cfRule>
    <cfRule type="cellIs" dxfId="647" priority="21700" operator="equal">
      <formula>$C$44</formula>
    </cfRule>
    <cfRule type="cellIs" dxfId="646" priority="21700" operator="equal">
      <formula>$S$32</formula>
    </cfRule>
    <cfRule type="cellIs" dxfId="645" priority="21700" operator="equal">
      <formula>$S$33</formula>
    </cfRule>
    <cfRule type="cellIs" dxfId="644" priority="21700" operator="equal">
      <formula>$S$34</formula>
    </cfRule>
    <cfRule type="cellIs" dxfId="643" priority="21700" operator="equal">
      <formula>$S$36</formula>
    </cfRule>
    <cfRule type="cellIs" dxfId="642" priority="21700" operator="equal">
      <formula>$S$37</formula>
    </cfRule>
    <cfRule type="cellIs" dxfId="641" priority="21700" operator="equal">
      <formula>$S$38</formula>
    </cfRule>
    <cfRule type="cellIs" dxfId="640" priority="21700" operator="equal">
      <formula>$S$39</formula>
    </cfRule>
    <cfRule type="cellIs" dxfId="639" priority="22288" operator="equal">
      <formula>$C$40</formula>
    </cfRule>
    <cfRule type="cellIs" dxfId="638" priority="22289" operator="equal">
      <formula>$C$39</formula>
    </cfRule>
    <cfRule type="cellIs" dxfId="637" priority="22290" operator="equal">
      <formula>$C$38</formula>
    </cfRule>
    <cfRule type="cellIs" dxfId="636" priority="22291" operator="equal">
      <formula>$C$37</formula>
    </cfRule>
    <cfRule type="cellIs" dxfId="635" priority="22292" operator="equal">
      <formula>$C$36</formula>
    </cfRule>
    <cfRule type="cellIs" dxfId="634" priority="22293" operator="equal">
      <formula>$C$35</formula>
    </cfRule>
    <cfRule type="cellIs" dxfId="633" priority="22294" operator="equal">
      <formula>$C$34</formula>
    </cfRule>
    <cfRule type="cellIs" dxfId="632" priority="22295" operator="equal">
      <formula>$C$33</formula>
    </cfRule>
    <cfRule type="cellIs" dxfId="631" priority="22296" operator="equal">
      <formula>$C$32</formula>
    </cfRule>
    <cfRule type="cellIs" dxfId="630" priority="22297" operator="equal">
      <formula>$BB$24</formula>
    </cfRule>
    <cfRule type="cellIs" dxfId="629" priority="22298" operator="equal">
      <formula>$BB$22</formula>
    </cfRule>
    <cfRule type="cellIs" dxfId="628" priority="22299" operator="equal">
      <formula>$BB$21</formula>
    </cfRule>
    <cfRule type="cellIs" dxfId="627" priority="22300" operator="equal">
      <formula>$BB$20</formula>
    </cfRule>
    <cfRule type="cellIs" dxfId="626" priority="22301" operator="equal">
      <formula>$BB$19</formula>
    </cfRule>
    <cfRule type="cellIs" dxfId="625" priority="22302" operator="equal">
      <formula>$BB$18</formula>
    </cfRule>
    <cfRule type="cellIs" dxfId="624" priority="22303" operator="equal">
      <formula>$BB$17</formula>
    </cfRule>
    <cfRule type="cellIs" dxfId="623" priority="22304" operator="equal">
      <formula>#REF!</formula>
    </cfRule>
    <cfRule type="cellIs" dxfId="622" priority="22305" operator="equal">
      <formula>$BB$13</formula>
    </cfRule>
    <cfRule type="cellIs" dxfId="621" priority="22306" operator="equal">
      <formula>$BB$12</formula>
    </cfRule>
    <cfRule type="cellIs" dxfId="620" priority="22307" operator="equal">
      <formula>$BB$11</formula>
    </cfRule>
    <cfRule type="cellIs" dxfId="619" priority="22308" operator="equal">
      <formula>$BB$10</formula>
    </cfRule>
    <cfRule type="cellIs" dxfId="618" priority="22309" operator="equal">
      <formula>$BB$9</formula>
    </cfRule>
    <cfRule type="cellIs" dxfId="617" priority="22310" operator="equal">
      <formula>$BB$8</formula>
    </cfRule>
    <cfRule type="cellIs" dxfId="616" priority="22311" operator="equal">
      <formula>$BB$7</formula>
    </cfRule>
    <cfRule type="cellIs" dxfId="615" priority="22312" operator="equal">
      <formula>$BB$6</formula>
    </cfRule>
    <cfRule type="cellIs" dxfId="614" priority="22313" operator="equal">
      <formula>$AZ$23</formula>
    </cfRule>
    <cfRule type="cellIs" dxfId="613" priority="22314" operator="equal">
      <formula>#REF!</formula>
    </cfRule>
    <cfRule type="cellIs" dxfId="612" priority="22315" operator="equal">
      <formula>$AZ$21</formula>
    </cfRule>
    <cfRule type="cellIs" dxfId="611" priority="22316" operator="equal">
      <formula>$AZ$20</formula>
    </cfRule>
    <cfRule type="cellIs" dxfId="610" priority="22317" operator="equal">
      <formula>$AZ$19</formula>
    </cfRule>
    <cfRule type="cellIs" dxfId="609" priority="22318" operator="equal">
      <formula>$AZ$18</formula>
    </cfRule>
    <cfRule type="cellIs" dxfId="608" priority="22319" operator="equal">
      <formula>$AZ$17</formula>
    </cfRule>
    <cfRule type="cellIs" dxfId="607" priority="22320" operator="equal">
      <formula>#REF!</formula>
    </cfRule>
    <cfRule type="cellIs" dxfId="606" priority="22321" operator="equal">
      <formula>$AZ$13</formula>
    </cfRule>
    <cfRule type="cellIs" dxfId="605" priority="22322" operator="equal">
      <formula>$AZ$12</formula>
    </cfRule>
    <cfRule type="cellIs" dxfId="604" priority="22323" operator="equal">
      <formula>$AZ$11</formula>
    </cfRule>
    <cfRule type="cellIs" dxfId="603" priority="22324" operator="equal">
      <formula>$AZ$10</formula>
    </cfRule>
    <cfRule type="cellIs" dxfId="602" priority="22325" operator="equal">
      <formula>$AZ$9</formula>
    </cfRule>
    <cfRule type="cellIs" dxfId="601" priority="22326" operator="equal">
      <formula>$AZ$8</formula>
    </cfRule>
    <cfRule type="cellIs" dxfId="600" priority="22327" operator="equal">
      <formula>$AZ$7</formula>
    </cfRule>
    <cfRule type="cellIs" dxfId="599" priority="22328" operator="equal">
      <formula>$AZ$6</formula>
    </cfRule>
    <cfRule type="cellIs" dxfId="598" priority="22329" operator="equal">
      <formula>$S$45</formula>
    </cfRule>
  </conditionalFormatting>
  <conditionalFormatting sqref="BC23">
    <cfRule type="cellIs" dxfId="597" priority="22330" operator="equal">
      <formula>$S$35</formula>
    </cfRule>
    <cfRule type="cellIs" dxfId="596" priority="22330" operator="equal">
      <formula>$S$40</formula>
    </cfRule>
    <cfRule type="cellIs" dxfId="595" priority="22330" operator="equal">
      <formula>$S$41</formula>
    </cfRule>
    <cfRule type="cellIs" dxfId="594" priority="22330" operator="equal">
      <formula>$S$42</formula>
    </cfRule>
    <cfRule type="cellIs" dxfId="593" priority="22330" operator="equal">
      <formula>$S$43</formula>
    </cfRule>
    <cfRule type="cellIs" dxfId="592" priority="22330" operator="equal">
      <formula>$S$44</formula>
    </cfRule>
    <cfRule type="cellIs" dxfId="591" priority="22330" operator="equal">
      <formula>$C$41</formula>
    </cfRule>
    <cfRule type="cellIs" dxfId="590" priority="22330" operator="equal">
      <formula>$C$42</formula>
    </cfRule>
    <cfRule type="cellIs" dxfId="589" priority="22330" operator="equal">
      <formula>$C$43</formula>
    </cfRule>
    <cfRule type="cellIs" dxfId="588" priority="22330" operator="equal">
      <formula>$C$44</formula>
    </cfRule>
    <cfRule type="cellIs" dxfId="587" priority="22330" operator="equal">
      <formula>$S$32</formula>
    </cfRule>
    <cfRule type="cellIs" dxfId="586" priority="22330" operator="equal">
      <formula>$S$33</formula>
    </cfRule>
    <cfRule type="cellIs" dxfId="585" priority="22330" operator="equal">
      <formula>$S$34</formula>
    </cfRule>
    <cfRule type="cellIs" dxfId="584" priority="22330" operator="equal">
      <formula>$S$36</formula>
    </cfRule>
    <cfRule type="cellIs" dxfId="583" priority="22330" operator="equal">
      <formula>$S$37</formula>
    </cfRule>
    <cfRule type="cellIs" dxfId="582" priority="22330" operator="equal">
      <formula>$S$38</formula>
    </cfRule>
    <cfRule type="cellIs" dxfId="581" priority="22330" operator="equal">
      <formula>$S$39</formula>
    </cfRule>
    <cfRule type="cellIs" dxfId="580" priority="22918" operator="equal">
      <formula>$C$40</formula>
    </cfRule>
    <cfRule type="cellIs" dxfId="579" priority="22919" operator="equal">
      <formula>$C$39</formula>
    </cfRule>
    <cfRule type="cellIs" dxfId="578" priority="22920" operator="equal">
      <formula>$C$38</formula>
    </cfRule>
    <cfRule type="cellIs" dxfId="577" priority="22921" operator="equal">
      <formula>$C$37</formula>
    </cfRule>
    <cfRule type="cellIs" dxfId="576" priority="22922" operator="equal">
      <formula>$C$36</formula>
    </cfRule>
    <cfRule type="cellIs" dxfId="575" priority="22923" operator="equal">
      <formula>$C$35</formula>
    </cfRule>
    <cfRule type="cellIs" dxfId="574" priority="22924" operator="equal">
      <formula>$C$34</formula>
    </cfRule>
    <cfRule type="cellIs" dxfId="573" priority="22925" operator="equal">
      <formula>$C$33</formula>
    </cfRule>
    <cfRule type="cellIs" dxfId="572" priority="22926" operator="equal">
      <formula>$C$32</formula>
    </cfRule>
    <cfRule type="cellIs" dxfId="571" priority="22927" operator="equal">
      <formula>#REF!</formula>
    </cfRule>
    <cfRule type="cellIs" dxfId="570" priority="22928" operator="equal">
      <formula>$BB$23</formula>
    </cfRule>
    <cfRule type="cellIs" dxfId="569" priority="22929" operator="equal">
      <formula>$BB$21</formula>
    </cfRule>
    <cfRule type="cellIs" dxfId="568" priority="22930" operator="equal">
      <formula>$BB$20</formula>
    </cfRule>
    <cfRule type="cellIs" dxfId="567" priority="22931" operator="equal">
      <formula>$BB$19</formula>
    </cfRule>
    <cfRule type="cellIs" dxfId="566" priority="22932" operator="equal">
      <formula>$BB$18</formula>
    </cfRule>
    <cfRule type="cellIs" dxfId="565" priority="22933" operator="equal">
      <formula>$BB$17</formula>
    </cfRule>
    <cfRule type="cellIs" dxfId="564" priority="22934" operator="equal">
      <formula>#REF!</formula>
    </cfRule>
    <cfRule type="cellIs" dxfId="563" priority="22935" operator="equal">
      <formula>$BB$13</formula>
    </cfRule>
    <cfRule type="cellIs" dxfId="562" priority="22936" operator="equal">
      <formula>$BB$12</formula>
    </cfRule>
    <cfRule type="cellIs" dxfId="561" priority="22937" operator="equal">
      <formula>$BB$11</formula>
    </cfRule>
    <cfRule type="cellIs" dxfId="560" priority="22938" operator="equal">
      <formula>$BB$10</formula>
    </cfRule>
    <cfRule type="cellIs" dxfId="559" priority="22939" operator="equal">
      <formula>$BB$9</formula>
    </cfRule>
    <cfRule type="cellIs" dxfId="558" priority="22940" operator="equal">
      <formula>$BB$8</formula>
    </cfRule>
    <cfRule type="cellIs" dxfId="557" priority="22941" operator="equal">
      <formula>$BB$7</formula>
    </cfRule>
    <cfRule type="cellIs" dxfId="556" priority="22942" operator="equal">
      <formula>$BB$6</formula>
    </cfRule>
    <cfRule type="cellIs" dxfId="555" priority="22943" operator="equal">
      <formula>$AZ$23</formula>
    </cfRule>
    <cfRule type="cellIs" dxfId="554" priority="22944" operator="equal">
      <formula>#REF!</formula>
    </cfRule>
    <cfRule type="cellIs" dxfId="553" priority="22945" operator="equal">
      <formula>$AZ$22</formula>
    </cfRule>
    <cfRule type="cellIs" dxfId="552" priority="22946" operator="equal">
      <formula>$AZ$21</formula>
    </cfRule>
    <cfRule type="cellIs" dxfId="551" priority="22947" operator="equal">
      <formula>$AZ$20</formula>
    </cfRule>
    <cfRule type="cellIs" dxfId="550" priority="22948" operator="equal">
      <formula>$AZ$19</formula>
    </cfRule>
    <cfRule type="cellIs" dxfId="549" priority="22949" operator="equal">
      <formula>$AZ$18</formula>
    </cfRule>
    <cfRule type="cellIs" dxfId="548" priority="22950" operator="equal">
      <formula>#REF!</formula>
    </cfRule>
    <cfRule type="cellIs" dxfId="547" priority="22951" operator="equal">
      <formula>$AZ$13</formula>
    </cfRule>
    <cfRule type="cellIs" dxfId="546" priority="22952" operator="equal">
      <formula>$AZ$12</formula>
    </cfRule>
    <cfRule type="cellIs" dxfId="545" priority="22953" operator="equal">
      <formula>$AZ$11</formula>
    </cfRule>
    <cfRule type="cellIs" dxfId="544" priority="22954" operator="equal">
      <formula>$AZ$10</formula>
    </cfRule>
    <cfRule type="cellIs" dxfId="543" priority="22955" operator="equal">
      <formula>$AZ$9</formula>
    </cfRule>
    <cfRule type="cellIs" dxfId="542" priority="22956" operator="equal">
      <formula>$AZ$8</formula>
    </cfRule>
    <cfRule type="cellIs" dxfId="541" priority="22957" operator="equal">
      <formula>$AZ$7</formula>
    </cfRule>
    <cfRule type="cellIs" dxfId="540" priority="22958" operator="equal">
      <formula>$AZ$6</formula>
    </cfRule>
    <cfRule type="cellIs" dxfId="539" priority="22959" operator="equal">
      <formula>$S$45</formula>
    </cfRule>
  </conditionalFormatting>
  <conditionalFormatting sqref="BC23">
    <cfRule type="cellIs" dxfId="538" priority="22960" operator="equal">
      <formula>$C$40</formula>
    </cfRule>
    <cfRule type="cellIs" dxfId="537" priority="22960" operator="equal">
      <formula>$S$35</formula>
    </cfRule>
    <cfRule type="cellIs" dxfId="536" priority="22960" operator="equal">
      <formula>$S$40</formula>
    </cfRule>
    <cfRule type="cellIs" dxfId="535" priority="22960" operator="equal">
      <formula>$S$41</formula>
    </cfRule>
    <cfRule type="cellIs" dxfId="534" priority="22960" operator="equal">
      <formula>$S$42</formula>
    </cfRule>
    <cfRule type="cellIs" dxfId="533" priority="22960" operator="equal">
      <formula>$S$43</formula>
    </cfRule>
    <cfRule type="cellIs" dxfId="532" priority="22960" operator="equal">
      <formula>$S$44</formula>
    </cfRule>
    <cfRule type="cellIs" dxfId="531" priority="22960" operator="equal">
      <formula>$C$41</formula>
    </cfRule>
    <cfRule type="cellIs" dxfId="530" priority="22960" operator="equal">
      <formula>$C$42</formula>
    </cfRule>
    <cfRule type="cellIs" dxfId="529" priority="22960" operator="equal">
      <formula>$C$43</formula>
    </cfRule>
    <cfRule type="cellIs" dxfId="528" priority="22960" operator="equal">
      <formula>$C$44</formula>
    </cfRule>
    <cfRule type="cellIs" dxfId="527" priority="22960" operator="equal">
      <formula>$S$32</formula>
    </cfRule>
    <cfRule type="cellIs" dxfId="526" priority="22960" operator="equal">
      <formula>$S$33</formula>
    </cfRule>
    <cfRule type="cellIs" dxfId="525" priority="22960" operator="equal">
      <formula>$S$34</formula>
    </cfRule>
    <cfRule type="cellIs" dxfId="524" priority="22960" operator="equal">
      <formula>$S$36</formula>
    </cfRule>
    <cfRule type="cellIs" dxfId="523" priority="22960" operator="equal">
      <formula>$S$37</formula>
    </cfRule>
    <cfRule type="cellIs" dxfId="522" priority="22960" operator="equal">
      <formula>$S$38</formula>
    </cfRule>
    <cfRule type="cellIs" dxfId="521" priority="22960" operator="equal">
      <formula>$S$39</formula>
    </cfRule>
    <cfRule type="cellIs" dxfId="520" priority="22961" operator="equal">
      <formula>$C$39</formula>
    </cfRule>
    <cfRule type="cellIs" dxfId="519" priority="22962" operator="equal">
      <formula>$C$38</formula>
    </cfRule>
    <cfRule type="cellIs" dxfId="518" priority="22963" operator="equal">
      <formula>$C$37</formula>
    </cfRule>
    <cfRule type="cellIs" dxfId="517" priority="22964" operator="equal">
      <formula>$C$36</formula>
    </cfRule>
    <cfRule type="cellIs" dxfId="516" priority="22965" operator="equal">
      <formula>$C$35</formula>
    </cfRule>
    <cfRule type="cellIs" dxfId="515" priority="22966" operator="equal">
      <formula>$C$34</formula>
    </cfRule>
    <cfRule type="cellIs" dxfId="514" priority="22967" operator="equal">
      <formula>$C$33</formula>
    </cfRule>
    <cfRule type="cellIs" dxfId="513" priority="22968" operator="equal">
      <formula>$C$32</formula>
    </cfRule>
    <cfRule type="cellIs" dxfId="512" priority="22969" operator="equal">
      <formula>$BB$24</formula>
    </cfRule>
    <cfRule type="cellIs" dxfId="511" priority="22970" operator="equal">
      <formula>$BB$23</formula>
    </cfRule>
    <cfRule type="cellIs" dxfId="510" priority="22971" operator="equal">
      <formula>$BB$21</formula>
    </cfRule>
    <cfRule type="cellIs" dxfId="509" priority="22972" operator="equal">
      <formula>$BB$20</formula>
    </cfRule>
    <cfRule type="cellIs" dxfId="508" priority="22973" operator="equal">
      <formula>$BB$19</formula>
    </cfRule>
    <cfRule type="cellIs" dxfId="507" priority="22974" operator="equal">
      <formula>$BB$18</formula>
    </cfRule>
    <cfRule type="cellIs" dxfId="506" priority="22975" operator="equal">
      <formula>$BB$17</formula>
    </cfRule>
    <cfRule type="cellIs" dxfId="505" priority="22976" operator="equal">
      <formula>#REF!</formula>
    </cfRule>
    <cfRule type="cellIs" dxfId="504" priority="22977" operator="equal">
      <formula>$BB$13</formula>
    </cfRule>
    <cfRule type="cellIs" dxfId="503" priority="22978" operator="equal">
      <formula>$BB$12</formula>
    </cfRule>
    <cfRule type="cellIs" dxfId="502" priority="22979" operator="equal">
      <formula>$BB$11</formula>
    </cfRule>
    <cfRule type="cellIs" dxfId="501" priority="22980" operator="equal">
      <formula>$BB$10</formula>
    </cfRule>
    <cfRule type="cellIs" dxfId="500" priority="22981" operator="equal">
      <formula>$BB$9</formula>
    </cfRule>
    <cfRule type="cellIs" dxfId="499" priority="22982" operator="equal">
      <formula>$BB$8</formula>
    </cfRule>
    <cfRule type="cellIs" dxfId="498" priority="22983" operator="equal">
      <formula>$BB$7</formula>
    </cfRule>
    <cfRule type="cellIs" dxfId="497" priority="22984" operator="equal">
      <formula>$BB$6</formula>
    </cfRule>
    <cfRule type="cellIs" dxfId="496" priority="22985" operator="equal">
      <formula>$AZ$23</formula>
    </cfRule>
    <cfRule type="cellIs" dxfId="495" priority="22986" operator="equal">
      <formula>#REF!</formula>
    </cfRule>
    <cfRule type="cellIs" dxfId="494" priority="22987" operator="equal">
      <formula>$AZ$22</formula>
    </cfRule>
    <cfRule type="cellIs" dxfId="493" priority="22988" operator="equal">
      <formula>$AZ$21</formula>
    </cfRule>
    <cfRule type="cellIs" dxfId="492" priority="22989" operator="equal">
      <formula>$AZ$20</formula>
    </cfRule>
    <cfRule type="cellIs" dxfId="491" priority="22990" operator="equal">
      <formula>$AZ$19</formula>
    </cfRule>
    <cfRule type="cellIs" dxfId="490" priority="22991" operator="equal">
      <formula>$AZ$18</formula>
    </cfRule>
    <cfRule type="cellIs" dxfId="489" priority="22992" operator="equal">
      <formula>#REF!</formula>
    </cfRule>
    <cfRule type="cellIs" dxfId="488" priority="22993" operator="equal">
      <formula>$AZ$13</formula>
    </cfRule>
    <cfRule type="cellIs" dxfId="487" priority="22994" operator="equal">
      <formula>$AZ$12</formula>
    </cfRule>
    <cfRule type="cellIs" dxfId="486" priority="22995" operator="equal">
      <formula>$AZ$11</formula>
    </cfRule>
    <cfRule type="cellIs" dxfId="485" priority="22996" operator="equal">
      <formula>$AZ$10</formula>
    </cfRule>
    <cfRule type="cellIs" dxfId="484" priority="22997" operator="equal">
      <formula>$AZ$9</formula>
    </cfRule>
    <cfRule type="cellIs" dxfId="483" priority="22998" operator="equal">
      <formula>$AZ$8</formula>
    </cfRule>
    <cfRule type="cellIs" dxfId="482" priority="22999" operator="equal">
      <formula>$AZ$7</formula>
    </cfRule>
    <cfRule type="cellIs" dxfId="481" priority="23000" operator="equal">
      <formula>$AZ$6</formula>
    </cfRule>
    <cfRule type="cellIs" dxfId="480" priority="23001" operator="equal">
      <formula>$S$45</formula>
    </cfRule>
  </conditionalFormatting>
  <conditionalFormatting sqref="C10:I17 S21:Y27 AA19:AG19 AI19:AO19 C20 S10:Y17 AI21:AO27 AQ10:AW17 AQ21:AW27 C21:I27 K21:Q27 AQ19:AW19">
    <cfRule type="cellIs" dxfId="479" priority="23002" operator="equal">
      <formula>$C$40</formula>
    </cfRule>
    <cfRule type="cellIs" dxfId="478" priority="23002" operator="equal">
      <formula>$S$35</formula>
    </cfRule>
    <cfRule type="cellIs" dxfId="477" priority="23002" operator="equal">
      <formula>$S$40</formula>
    </cfRule>
    <cfRule type="cellIs" dxfId="476" priority="23002" operator="equal">
      <formula>$S$41</formula>
    </cfRule>
    <cfRule type="cellIs" dxfId="475" priority="23002" operator="equal">
      <formula>$S$42</formula>
    </cfRule>
    <cfRule type="cellIs" dxfId="474" priority="23002" operator="equal">
      <formula>$S$43</formula>
    </cfRule>
    <cfRule type="cellIs" dxfId="473" priority="23002" operator="equal">
      <formula>$S$44</formula>
    </cfRule>
    <cfRule type="cellIs" dxfId="472" priority="23002" operator="equal">
      <formula>$C$41</formula>
    </cfRule>
    <cfRule type="cellIs" dxfId="471" priority="23002" operator="equal">
      <formula>$C$42</formula>
    </cfRule>
    <cfRule type="cellIs" dxfId="470" priority="23002" operator="equal">
      <formula>$C$43</formula>
    </cfRule>
    <cfRule type="cellIs" dxfId="469" priority="23002" operator="equal">
      <formula>$C$44</formula>
    </cfRule>
    <cfRule type="cellIs" dxfId="468" priority="23002" operator="equal">
      <formula>$S$32</formula>
    </cfRule>
    <cfRule type="cellIs" dxfId="467" priority="23002" operator="equal">
      <formula>$S$33</formula>
    </cfRule>
    <cfRule type="cellIs" dxfId="466" priority="23002" operator="equal">
      <formula>$S$34</formula>
    </cfRule>
    <cfRule type="cellIs" dxfId="465" priority="23002" operator="equal">
      <formula>$S$36</formula>
    </cfRule>
    <cfRule type="cellIs" dxfId="464" priority="23002" operator="equal">
      <formula>$S$37</formula>
    </cfRule>
    <cfRule type="cellIs" dxfId="463" priority="23002" operator="equal">
      <formula>$S$38</formula>
    </cfRule>
    <cfRule type="cellIs" dxfId="462" priority="23002" operator="equal">
      <formula>$S$39</formula>
    </cfRule>
    <cfRule type="cellIs" dxfId="461" priority="23003" operator="equal">
      <formula>$C$39</formula>
    </cfRule>
    <cfRule type="cellIs" dxfId="460" priority="23004" operator="equal">
      <formula>$C$38</formula>
    </cfRule>
    <cfRule type="cellIs" dxfId="459" priority="23005" operator="equal">
      <formula>$C$37</formula>
    </cfRule>
    <cfRule type="cellIs" dxfId="458" priority="23006" operator="equal">
      <formula>$C$36</formula>
    </cfRule>
    <cfRule type="cellIs" dxfId="457" priority="23007" operator="equal">
      <formula>$C$35</formula>
    </cfRule>
    <cfRule type="cellIs" dxfId="456" priority="23008" operator="equal">
      <formula>$C$34</formula>
    </cfRule>
    <cfRule type="cellIs" dxfId="455" priority="23009" operator="equal">
      <formula>$C$33</formula>
    </cfRule>
    <cfRule type="cellIs" dxfId="454" priority="23010" operator="equal">
      <formula>$C$32</formula>
    </cfRule>
    <cfRule type="cellIs" dxfId="453" priority="23011" operator="equal">
      <formula>$BB$23</formula>
    </cfRule>
    <cfRule type="cellIs" dxfId="452" priority="23012" operator="equal">
      <formula>#REF!</formula>
    </cfRule>
    <cfRule type="cellIs" dxfId="451" priority="23013" operator="equal">
      <formula>$BB$21</formula>
    </cfRule>
    <cfRule type="cellIs" dxfId="450" priority="23014" operator="equal">
      <formula>$BB$20</formula>
    </cfRule>
    <cfRule type="cellIs" dxfId="449" priority="23015" operator="equal">
      <formula>$BB$19</formula>
    </cfRule>
    <cfRule type="cellIs" dxfId="448" priority="23016" operator="equal">
      <formula>$BB$18</formula>
    </cfRule>
    <cfRule type="cellIs" dxfId="447" priority="23017" operator="equal">
      <formula>$BB$17</formula>
    </cfRule>
    <cfRule type="cellIs" dxfId="446" priority="23018" operator="equal">
      <formula>#REF!</formula>
    </cfRule>
    <cfRule type="cellIs" dxfId="445" priority="23019" operator="equal">
      <formula>$BB$13</formula>
    </cfRule>
    <cfRule type="cellIs" dxfId="444" priority="23020" operator="equal">
      <formula>$BB$12</formula>
    </cfRule>
    <cfRule type="cellIs" dxfId="443" priority="23021" operator="equal">
      <formula>$BB$11</formula>
    </cfRule>
    <cfRule type="cellIs" dxfId="442" priority="23022" operator="equal">
      <formula>$BB$10</formula>
    </cfRule>
    <cfRule type="cellIs" dxfId="441" priority="23023" operator="equal">
      <formula>$BB$9</formula>
    </cfRule>
    <cfRule type="cellIs" dxfId="440" priority="23024" operator="equal">
      <formula>$BB$8</formula>
    </cfRule>
    <cfRule type="cellIs" dxfId="439" priority="23025" operator="equal">
      <formula>$BB$7</formula>
    </cfRule>
    <cfRule type="cellIs" dxfId="438" priority="23026" operator="equal">
      <formula>$BB$6</formula>
    </cfRule>
    <cfRule type="cellIs" dxfId="437" priority="23027" operator="equal">
      <formula>$AZ$23</formula>
    </cfRule>
    <cfRule type="cellIs" dxfId="436" priority="23028" operator="equal">
      <formula>#REF!</formula>
    </cfRule>
    <cfRule type="cellIs" dxfId="435" priority="23029" operator="equal">
      <formula>$AZ$22</formula>
    </cfRule>
    <cfRule type="cellIs" dxfId="434" priority="23030" operator="equal">
      <formula>$AZ$21</formula>
    </cfRule>
    <cfRule type="cellIs" dxfId="433" priority="23031" operator="equal">
      <formula>$AZ$20</formula>
    </cfRule>
    <cfRule type="cellIs" dxfId="432" priority="23032" operator="equal">
      <formula>$AZ$19</formula>
    </cfRule>
    <cfRule type="cellIs" dxfId="431" priority="23033" operator="equal">
      <formula>$AZ$18</formula>
    </cfRule>
    <cfRule type="cellIs" dxfId="430" priority="23034" operator="equal">
      <formula>#REF!</formula>
    </cfRule>
    <cfRule type="cellIs" dxfId="429" priority="23035" operator="equal">
      <formula>$AZ$13</formula>
    </cfRule>
    <cfRule type="cellIs" dxfId="428" priority="23036" operator="equal">
      <formula>$AZ$12</formula>
    </cfRule>
    <cfRule type="cellIs" dxfId="427" priority="23037" operator="equal">
      <formula>$AZ$11</formula>
    </cfRule>
    <cfRule type="cellIs" dxfId="426" priority="23038" operator="equal">
      <formula>$AZ$10</formula>
    </cfRule>
    <cfRule type="cellIs" dxfId="425" priority="23039" operator="equal">
      <formula>$AZ$9</formula>
    </cfRule>
    <cfRule type="cellIs" dxfId="424" priority="23040" operator="equal">
      <formula>$AZ$8</formula>
    </cfRule>
    <cfRule type="cellIs" dxfId="423" priority="23041" operator="equal">
      <formula>$AZ$7</formula>
    </cfRule>
    <cfRule type="cellIs" dxfId="422" priority="23042" operator="equal">
      <formula>$AZ$6</formula>
    </cfRule>
    <cfRule type="cellIs" dxfId="421" priority="23043" operator="equal">
      <formula>$S$45</formula>
    </cfRule>
  </conditionalFormatting>
  <conditionalFormatting sqref="C10:I17 S21:Y27 AA19:AG19 AI19:AO19 C20 S10:Y17 AI21:AO27 AQ10:AW17 AQ21:AW27 C21:I27 K21:Q27 AQ19:AW19 AI10:AO17 AA10:AG17">
    <cfRule type="cellIs" dxfId="420" priority="23044" operator="equal">
      <formula>$S$35</formula>
    </cfRule>
    <cfRule type="cellIs" dxfId="419" priority="23044" operator="equal">
      <formula>$S$40</formula>
    </cfRule>
    <cfRule type="cellIs" dxfId="418" priority="23044" operator="equal">
      <formula>$S$41</formula>
    </cfRule>
    <cfRule type="cellIs" dxfId="417" priority="23044" operator="equal">
      <formula>$S$42</formula>
    </cfRule>
    <cfRule type="cellIs" dxfId="416" priority="23044" operator="equal">
      <formula>$S$43</formula>
    </cfRule>
    <cfRule type="cellIs" dxfId="415" priority="23044" operator="equal">
      <formula>$S$44</formula>
    </cfRule>
    <cfRule type="cellIs" dxfId="414" priority="23044" operator="equal">
      <formula>$C$41</formula>
    </cfRule>
    <cfRule type="cellIs" dxfId="413" priority="23044" operator="equal">
      <formula>$C$42</formula>
    </cfRule>
    <cfRule type="cellIs" dxfId="412" priority="23044" operator="equal">
      <formula>$C$43</formula>
    </cfRule>
    <cfRule type="cellIs" dxfId="411" priority="23044" operator="equal">
      <formula>$C$44</formula>
    </cfRule>
    <cfRule type="cellIs" dxfId="410" priority="23044" operator="equal">
      <formula>$S$32</formula>
    </cfRule>
    <cfRule type="cellIs" dxfId="409" priority="23044" operator="equal">
      <formula>$S$33</formula>
    </cfRule>
    <cfRule type="cellIs" dxfId="408" priority="23044" operator="equal">
      <formula>$S$34</formula>
    </cfRule>
    <cfRule type="cellIs" dxfId="407" priority="23044" operator="equal">
      <formula>$S$36</formula>
    </cfRule>
    <cfRule type="cellIs" dxfId="406" priority="23044" operator="equal">
      <formula>$S$37</formula>
    </cfRule>
    <cfRule type="cellIs" dxfId="405" priority="23044" operator="equal">
      <formula>$S$38</formula>
    </cfRule>
    <cfRule type="cellIs" dxfId="404" priority="23044" operator="equal">
      <formula>$S$39</formula>
    </cfRule>
    <cfRule type="cellIs" dxfId="403" priority="23506" operator="equal">
      <formula>$C$40</formula>
    </cfRule>
    <cfRule type="cellIs" dxfId="402" priority="23507" operator="equal">
      <formula>$C$39</formula>
    </cfRule>
    <cfRule type="cellIs" dxfId="401" priority="23508" operator="equal">
      <formula>$C$38</formula>
    </cfRule>
    <cfRule type="cellIs" dxfId="400" priority="23509" operator="equal">
      <formula>$C$37</formula>
    </cfRule>
    <cfRule type="cellIs" dxfId="399" priority="23510" operator="equal">
      <formula>$C$36</formula>
    </cfRule>
    <cfRule type="cellIs" dxfId="398" priority="23511" operator="equal">
      <formula>$C$35</formula>
    </cfRule>
    <cfRule type="cellIs" dxfId="397" priority="23512" operator="equal">
      <formula>$C$34</formula>
    </cfRule>
    <cfRule type="cellIs" dxfId="396" priority="23513" operator="equal">
      <formula>$C$33</formula>
    </cfRule>
    <cfRule type="cellIs" dxfId="395" priority="23514" operator="equal">
      <formula>$C$32</formula>
    </cfRule>
    <cfRule type="cellIs" dxfId="394" priority="23515" operator="equal">
      <formula>#REF!</formula>
    </cfRule>
    <cfRule type="cellIs" dxfId="393" priority="23516" operator="equal">
      <formula>$BB$23</formula>
    </cfRule>
    <cfRule type="cellIs" dxfId="392" priority="23517" operator="equal">
      <formula>$BB$21</formula>
    </cfRule>
    <cfRule type="cellIs" dxfId="391" priority="23518" operator="equal">
      <formula>$BB$20</formula>
    </cfRule>
    <cfRule type="cellIs" dxfId="390" priority="23519" operator="equal">
      <formula>$BB$19</formula>
    </cfRule>
    <cfRule type="cellIs" dxfId="389" priority="23520" operator="equal">
      <formula>$BB$18</formula>
    </cfRule>
    <cfRule type="cellIs" dxfId="388" priority="23521" operator="equal">
      <formula>$BB$17</formula>
    </cfRule>
    <cfRule type="cellIs" dxfId="387" priority="23522" operator="equal">
      <formula>#REF!</formula>
    </cfRule>
    <cfRule type="cellIs" dxfId="386" priority="23523" operator="equal">
      <formula>$BB$13</formula>
    </cfRule>
    <cfRule type="cellIs" dxfId="385" priority="23524" operator="equal">
      <formula>$BB$12</formula>
    </cfRule>
    <cfRule type="cellIs" dxfId="384" priority="23525" operator="equal">
      <formula>$BB$11</formula>
    </cfRule>
    <cfRule type="cellIs" dxfId="383" priority="23526" operator="equal">
      <formula>$BB$10</formula>
    </cfRule>
    <cfRule type="cellIs" dxfId="382" priority="23527" operator="equal">
      <formula>$BB$9</formula>
    </cfRule>
    <cfRule type="cellIs" dxfId="381" priority="23528" operator="equal">
      <formula>$BB$8</formula>
    </cfRule>
    <cfRule type="cellIs" dxfId="380" priority="23529" operator="equal">
      <formula>$BB$7</formula>
    </cfRule>
    <cfRule type="cellIs" dxfId="379" priority="23530" operator="equal">
      <formula>$BB$6</formula>
    </cfRule>
    <cfRule type="cellIs" dxfId="378" priority="23531" operator="equal">
      <formula>#REF!</formula>
    </cfRule>
    <cfRule type="cellIs" dxfId="377" priority="23532" operator="equal">
      <formula>#REF!</formula>
    </cfRule>
    <cfRule type="cellIs" dxfId="376" priority="23533" operator="equal">
      <formula>$AZ$22</formula>
    </cfRule>
    <cfRule type="cellIs" dxfId="375" priority="23534" operator="equal">
      <formula>$AZ$21</formula>
    </cfRule>
    <cfRule type="cellIs" dxfId="374" priority="23535" operator="equal">
      <formula>$AZ$20</formula>
    </cfRule>
    <cfRule type="cellIs" dxfId="373" priority="23536" operator="equal">
      <formula>$AZ$19</formula>
    </cfRule>
    <cfRule type="cellIs" dxfId="372" priority="23537" operator="equal">
      <formula>$AZ$18</formula>
    </cfRule>
    <cfRule type="cellIs" dxfId="371" priority="23538" operator="equal">
      <formula>#REF!</formula>
    </cfRule>
    <cfRule type="cellIs" dxfId="370" priority="23539" operator="equal">
      <formula>$AZ$13</formula>
    </cfRule>
    <cfRule type="cellIs" dxfId="369" priority="23540" operator="equal">
      <formula>$AZ$12</formula>
    </cfRule>
    <cfRule type="cellIs" dxfId="368" priority="23541" operator="equal">
      <formula>$AZ$11</formula>
    </cfRule>
    <cfRule type="cellIs" dxfId="367" priority="23542" operator="equal">
      <formula>$AZ$10</formula>
    </cfRule>
    <cfRule type="cellIs" dxfId="366" priority="23543" operator="equal">
      <formula>$AZ$9</formula>
    </cfRule>
    <cfRule type="cellIs" dxfId="365" priority="23544" operator="equal">
      <formula>$AZ$8</formula>
    </cfRule>
    <cfRule type="cellIs" dxfId="364" priority="23545" operator="equal">
      <formula>$AZ$7</formula>
    </cfRule>
    <cfRule type="cellIs" dxfId="363" priority="23546" operator="equal">
      <formula>$AZ$6</formula>
    </cfRule>
    <cfRule type="cellIs" dxfId="362" priority="23547" operator="equal">
      <formula>$S$45</formula>
    </cfRule>
  </conditionalFormatting>
  <conditionalFormatting sqref="C10:I17 S21:Y27 AA19:AG19 AI19:AO19 C20 S10:Y17 AI21:AO27 AQ10:AW17 AQ21:AW27 C21:I27 K21:Q27 AQ19:AW19 AI10:AO17 AA10:AG17">
    <cfRule type="cellIs" dxfId="361" priority="19098" operator="equal">
      <formula>$C$32</formula>
    </cfRule>
    <cfRule type="cellIs" dxfId="360" priority="19099" operator="equal">
      <formula>#REF!</formula>
    </cfRule>
    <cfRule type="cellIs" dxfId="359" priority="19100" operator="equal">
      <formula>#REF!</formula>
    </cfRule>
    <cfRule type="cellIs" dxfId="358" priority="19101" operator="equal">
      <formula>$BB$22</formula>
    </cfRule>
    <cfRule type="cellIs" dxfId="357" priority="19102" operator="equal">
      <formula>$BB$21</formula>
    </cfRule>
    <cfRule type="cellIs" dxfId="356" priority="19103" operator="equal">
      <formula>$BB$20</formula>
    </cfRule>
    <cfRule type="cellIs" dxfId="355" priority="19104" operator="equal">
      <formula>$BB$19</formula>
    </cfRule>
    <cfRule type="cellIs" dxfId="354" priority="19105" operator="equal">
      <formula>$BB$18</formula>
    </cfRule>
    <cfRule type="cellIs" dxfId="353" priority="19106" operator="equal">
      <formula>$BB$15</formula>
    </cfRule>
    <cfRule type="cellIs" dxfId="352" priority="19107" operator="equal">
      <formula>$BB$13</formula>
    </cfRule>
    <cfRule type="cellIs" dxfId="351" priority="19108" operator="equal">
      <formula>$BB$12</formula>
    </cfRule>
    <cfRule type="cellIs" dxfId="350" priority="19109" operator="equal">
      <formula>$BB$11</formula>
    </cfRule>
    <cfRule type="cellIs" dxfId="349" priority="19110" operator="equal">
      <formula>$BB$10</formula>
    </cfRule>
    <cfRule type="cellIs" dxfId="348" priority="19111" operator="equal">
      <formula>$BB$9</formula>
    </cfRule>
    <cfRule type="cellIs" dxfId="347" priority="19112" operator="equal">
      <formula>$BB$8</formula>
    </cfRule>
    <cfRule type="cellIs" dxfId="346" priority="19113" operator="equal">
      <formula>$BB$7</formula>
    </cfRule>
    <cfRule type="cellIs" dxfId="345" priority="19114" operator="equal">
      <formula>$BB$6</formula>
    </cfRule>
    <cfRule type="cellIs" dxfId="344" priority="29968" operator="equal">
      <formula>$AZ$23</formula>
    </cfRule>
    <cfRule type="cellIs" dxfId="343" priority="29969" operator="equal">
      <formula>#REF!</formula>
    </cfRule>
    <cfRule type="cellIs" dxfId="342" priority="29970" operator="equal">
      <formula>$AZ$22</formula>
    </cfRule>
    <cfRule type="cellIs" dxfId="341" priority="29971" operator="equal">
      <formula>$AZ$21</formula>
    </cfRule>
    <cfRule type="cellIs" dxfId="340" priority="29972" operator="equal">
      <formula>$AZ$20</formula>
    </cfRule>
    <cfRule type="cellIs" dxfId="339" priority="29973" operator="equal">
      <formula>$AZ$19</formula>
    </cfRule>
    <cfRule type="cellIs" dxfId="338" priority="29974" operator="equal">
      <formula>$AZ$18</formula>
    </cfRule>
    <cfRule type="cellIs" dxfId="337" priority="29975" operator="equal">
      <formula>#REF!</formula>
    </cfRule>
    <cfRule type="cellIs" dxfId="336" priority="29976" operator="equal">
      <formula>$AZ$13</formula>
    </cfRule>
    <cfRule type="cellIs" dxfId="335" priority="29977" operator="equal">
      <formula>$AZ$12</formula>
    </cfRule>
    <cfRule type="cellIs" dxfId="334" priority="29978" operator="equal">
      <formula>$AZ$11</formula>
    </cfRule>
    <cfRule type="cellIs" dxfId="333" priority="29979" operator="equal">
      <formula>$AZ$10</formula>
    </cfRule>
    <cfRule type="cellIs" dxfId="332" priority="29980" operator="equal">
      <formula>$AZ$9</formula>
    </cfRule>
    <cfRule type="cellIs" dxfId="331" priority="29981" operator="equal">
      <formula>$AZ$8</formula>
    </cfRule>
    <cfRule type="cellIs" dxfId="330" priority="29982" operator="equal">
      <formula>$AZ$7</formula>
    </cfRule>
    <cfRule type="cellIs" dxfId="329" priority="29983" operator="equal">
      <formula>$AZ$6</formula>
    </cfRule>
    <cfRule type="cellIs" dxfId="328" priority="29984" operator="equal">
      <formula>$S$45</formula>
    </cfRule>
    <cfRule type="cellIs" dxfId="327" priority="29985" operator="equal">
      <formula>$S$44</formula>
    </cfRule>
    <cfRule type="cellIs" dxfId="326" priority="29986" operator="equal">
      <formula>$S$43</formula>
    </cfRule>
    <cfRule type="cellIs" dxfId="325" priority="29987" operator="equal">
      <formula>$S$42</formula>
    </cfRule>
    <cfRule type="cellIs" dxfId="324" priority="29988" operator="equal">
      <formula>$S$41</formula>
    </cfRule>
    <cfRule type="cellIs" dxfId="323" priority="29989" operator="equal">
      <formula>$S$40</formula>
    </cfRule>
    <cfRule type="cellIs" dxfId="322" priority="29990" operator="equal">
      <formula>$S$39</formula>
    </cfRule>
    <cfRule type="cellIs" dxfId="321" priority="29991" operator="equal">
      <formula>$S$38</formula>
    </cfRule>
    <cfRule type="cellIs" dxfId="320" priority="29992" operator="equal">
      <formula>$S$37</formula>
    </cfRule>
    <cfRule type="cellIs" dxfId="319" priority="29993" operator="equal">
      <formula>$S$36</formula>
    </cfRule>
    <cfRule type="cellIs" dxfId="318" priority="29994" operator="equal">
      <formula>$S$35</formula>
    </cfRule>
    <cfRule type="cellIs" dxfId="317" priority="29995" operator="equal">
      <formula>$S$34</formula>
    </cfRule>
    <cfRule type="cellIs" dxfId="316" priority="29996" operator="equal">
      <formula>$S$33</formula>
    </cfRule>
    <cfRule type="cellIs" dxfId="315" priority="29997" operator="equal">
      <formula>$S$32</formula>
    </cfRule>
    <cfRule type="cellIs" dxfId="314" priority="29998" operator="equal">
      <formula>$C$44</formula>
    </cfRule>
    <cfRule type="cellIs" dxfId="313" priority="29999" operator="equal">
      <formula>$C$43</formula>
    </cfRule>
    <cfRule type="cellIs" dxfId="312" priority="30000" operator="equal">
      <formula>$C$42</formula>
    </cfRule>
    <cfRule type="cellIs" dxfId="311" priority="30001" operator="equal">
      <formula>$C$41</formula>
    </cfRule>
    <cfRule type="cellIs" dxfId="310" priority="30002" operator="equal">
      <formula>$C$40</formula>
    </cfRule>
    <cfRule type="cellIs" dxfId="309" priority="30003" operator="equal">
      <formula>$C$39</formula>
    </cfRule>
    <cfRule type="cellIs" dxfId="308" priority="30004" operator="equal">
      <formula>$C$38</formula>
    </cfRule>
    <cfRule type="cellIs" dxfId="307" priority="30005" operator="equal">
      <formula>$C$37</formula>
    </cfRule>
    <cfRule type="cellIs" dxfId="306" priority="30006" operator="equal">
      <formula>$C$36</formula>
    </cfRule>
    <cfRule type="cellIs" dxfId="305" priority="30007" operator="equal">
      <formula>$C$35</formula>
    </cfRule>
    <cfRule type="cellIs" dxfId="304" priority="30008" operator="equal">
      <formula>$C$34</formula>
    </cfRule>
    <cfRule type="cellIs" dxfId="303" priority="30009" operator="equal">
      <formula>$C$33</formula>
    </cfRule>
  </conditionalFormatting>
  <conditionalFormatting sqref="C10:I17 S21:Y27 AA19:AG19 AI19:AO19 C20 S10:Y17 AI21:AO27 AQ10:AW17 AQ21:AW27 C21:I27 K21:Q27 AQ19:AW19 AI10:AO17 AA10:AG17">
    <cfRule type="cellIs" dxfId="302" priority="20042" operator="equal">
      <formula>$C$32</formula>
    </cfRule>
    <cfRule type="cellIs" dxfId="301" priority="20043" operator="equal">
      <formula>$BB$24</formula>
    </cfRule>
    <cfRule type="cellIs" dxfId="300" priority="20044" operator="equal">
      <formula>#REF!</formula>
    </cfRule>
    <cfRule type="cellIs" dxfId="299" priority="20045" operator="equal">
      <formula>$BB$22</formula>
    </cfRule>
    <cfRule type="cellIs" dxfId="298" priority="20046" operator="equal">
      <formula>$BB$21</formula>
    </cfRule>
    <cfRule type="cellIs" dxfId="297" priority="20047" operator="equal">
      <formula>$BB$20</formula>
    </cfRule>
    <cfRule type="cellIs" dxfId="296" priority="20048" operator="equal">
      <formula>$BB$19</formula>
    </cfRule>
    <cfRule type="cellIs" dxfId="295" priority="20049" operator="equal">
      <formula>$BB$18</formula>
    </cfRule>
    <cfRule type="cellIs" dxfId="294" priority="20050" operator="equal">
      <formula>$BB$15</formula>
    </cfRule>
    <cfRule type="cellIs" dxfId="293" priority="20051" operator="equal">
      <formula>$BB$13</formula>
    </cfRule>
    <cfRule type="cellIs" dxfId="292" priority="20052" operator="equal">
      <formula>$BB$12</formula>
    </cfRule>
    <cfRule type="cellIs" dxfId="291" priority="20053" operator="equal">
      <formula>$BB$11</formula>
    </cfRule>
    <cfRule type="cellIs" dxfId="290" priority="20054" operator="equal">
      <formula>$BB$10</formula>
    </cfRule>
    <cfRule type="cellIs" dxfId="289" priority="20055" operator="equal">
      <formula>$BB$9</formula>
    </cfRule>
    <cfRule type="cellIs" dxfId="288" priority="20056" operator="equal">
      <formula>$BB$8</formula>
    </cfRule>
    <cfRule type="cellIs" dxfId="287" priority="20057" operator="equal">
      <formula>$BB$7</formula>
    </cfRule>
    <cfRule type="cellIs" dxfId="286" priority="20058" operator="equal">
      <formula>$BB$6</formula>
    </cfRule>
    <cfRule type="cellIs" dxfId="285" priority="30912" operator="equal">
      <formula>$AZ$23</formula>
    </cfRule>
    <cfRule type="cellIs" dxfId="284" priority="30913" operator="equal">
      <formula>#REF!</formula>
    </cfRule>
    <cfRule type="cellIs" dxfId="283" priority="30914" operator="equal">
      <formula>$AZ$22</formula>
    </cfRule>
    <cfRule type="cellIs" dxfId="282" priority="30915" operator="equal">
      <formula>$AZ$21</formula>
    </cfRule>
    <cfRule type="cellIs" dxfId="281" priority="30916" operator="equal">
      <formula>$AZ$20</formula>
    </cfRule>
    <cfRule type="cellIs" dxfId="280" priority="30917" operator="equal">
      <formula>$AZ$19</formula>
    </cfRule>
    <cfRule type="cellIs" dxfId="279" priority="30918" operator="equal">
      <formula>$AZ$18</formula>
    </cfRule>
    <cfRule type="cellIs" dxfId="278" priority="30919" operator="equal">
      <formula>#REF!</formula>
    </cfRule>
    <cfRule type="cellIs" dxfId="277" priority="30920" operator="equal">
      <formula>$AZ$13</formula>
    </cfRule>
    <cfRule type="cellIs" dxfId="276" priority="30921" operator="equal">
      <formula>$AZ$12</formula>
    </cfRule>
    <cfRule type="cellIs" dxfId="275" priority="30922" operator="equal">
      <formula>$AZ$11</formula>
    </cfRule>
    <cfRule type="cellIs" dxfId="274" priority="30923" operator="equal">
      <formula>$AZ$10</formula>
    </cfRule>
    <cfRule type="cellIs" dxfId="273" priority="30924" operator="equal">
      <formula>$AZ$9</formula>
    </cfRule>
    <cfRule type="cellIs" dxfId="272" priority="30925" operator="equal">
      <formula>$AZ$8</formula>
    </cfRule>
    <cfRule type="cellIs" dxfId="271" priority="30926" operator="equal">
      <formula>$AZ$7</formula>
    </cfRule>
    <cfRule type="cellIs" dxfId="270" priority="30927" operator="equal">
      <formula>$AZ$6</formula>
    </cfRule>
    <cfRule type="cellIs" dxfId="269" priority="30928" operator="equal">
      <formula>$S$45</formula>
    </cfRule>
    <cfRule type="cellIs" dxfId="268" priority="30929" operator="equal">
      <formula>$S$44</formula>
    </cfRule>
    <cfRule type="cellIs" dxfId="267" priority="30930" operator="equal">
      <formula>$S$43</formula>
    </cfRule>
    <cfRule type="cellIs" dxfId="266" priority="30931" operator="equal">
      <formula>$S$42</formula>
    </cfRule>
    <cfRule type="cellIs" dxfId="265" priority="30932" operator="equal">
      <formula>$S$41</formula>
    </cfRule>
    <cfRule type="cellIs" dxfId="264" priority="30933" operator="equal">
      <formula>$S$40</formula>
    </cfRule>
    <cfRule type="cellIs" dxfId="263" priority="30934" operator="equal">
      <formula>$S$39</formula>
    </cfRule>
    <cfRule type="cellIs" dxfId="262" priority="30935" operator="equal">
      <formula>$S$38</formula>
    </cfRule>
    <cfRule type="cellIs" dxfId="261" priority="30936" operator="equal">
      <formula>$S$37</formula>
    </cfRule>
    <cfRule type="cellIs" dxfId="260" priority="30937" operator="equal">
      <formula>$S$36</formula>
    </cfRule>
    <cfRule type="cellIs" dxfId="259" priority="30938" operator="equal">
      <formula>$S$35</formula>
    </cfRule>
    <cfRule type="cellIs" dxfId="258" priority="30939" operator="equal">
      <formula>$S$34</formula>
    </cfRule>
    <cfRule type="cellIs" dxfId="257" priority="30940" operator="equal">
      <formula>$S$33</formula>
    </cfRule>
    <cfRule type="cellIs" dxfId="256" priority="30941" operator="equal">
      <formula>$S$32</formula>
    </cfRule>
    <cfRule type="cellIs" dxfId="255" priority="30942" operator="equal">
      <formula>$C$44</formula>
    </cfRule>
    <cfRule type="cellIs" dxfId="254" priority="30943" operator="equal">
      <formula>$C$43</formula>
    </cfRule>
    <cfRule type="cellIs" dxfId="253" priority="30944" operator="equal">
      <formula>$C$42</formula>
    </cfRule>
    <cfRule type="cellIs" dxfId="252" priority="30945" operator="equal">
      <formula>$C$41</formula>
    </cfRule>
    <cfRule type="cellIs" dxfId="251" priority="30946" operator="equal">
      <formula>$C$40</formula>
    </cfRule>
    <cfRule type="cellIs" dxfId="250" priority="30947" operator="equal">
      <formula>$C$39</formula>
    </cfRule>
    <cfRule type="cellIs" dxfId="249" priority="30948" operator="equal">
      <formula>$C$38</formula>
    </cfRule>
    <cfRule type="cellIs" dxfId="248" priority="30949" operator="equal">
      <formula>$C$37</formula>
    </cfRule>
    <cfRule type="cellIs" dxfId="247" priority="30950" operator="equal">
      <formula>$C$36</formula>
    </cfRule>
    <cfRule type="cellIs" dxfId="246" priority="30951" operator="equal">
      <formula>$C$35</formula>
    </cfRule>
    <cfRule type="cellIs" dxfId="245" priority="30952" operator="equal">
      <formula>$C$34</formula>
    </cfRule>
    <cfRule type="cellIs" dxfId="244" priority="30953" operator="equal">
      <formula>$C$33</formula>
    </cfRule>
  </conditionalFormatting>
  <conditionalFormatting sqref="BC23 C10:I17 S21:Y27 AA19:AG19 AI19:AO19 C20 S10:Y17 AI21:AO27 AQ10:AW17 AQ21:AW27 C21:I27 K21:Q27 AQ19:AW19 AI10:AO17 AA10:AG17 K10:Q17">
    <cfRule type="cellIs" dxfId="243" priority="20927" operator="equal">
      <formula>$BB$13</formula>
    </cfRule>
    <cfRule type="cellIs" dxfId="242" priority="20928" operator="equal">
      <formula>$BB$12</formula>
    </cfRule>
    <cfRule type="cellIs" dxfId="241" priority="20929" operator="equal">
      <formula>$BB$11</formula>
    </cfRule>
    <cfRule type="cellIs" dxfId="240" priority="20930" operator="equal">
      <formula>$BB$10</formula>
    </cfRule>
    <cfRule type="cellIs" dxfId="239" priority="20931" operator="equal">
      <formula>$BB$9</formula>
    </cfRule>
    <cfRule type="cellIs" dxfId="238" priority="20932" operator="equal">
      <formula>$BB$8</formula>
    </cfRule>
    <cfRule type="cellIs" dxfId="237" priority="20933" operator="equal">
      <formula>$BB$7</formula>
    </cfRule>
    <cfRule type="cellIs" dxfId="236" priority="20934" operator="equal">
      <formula>$BB$6</formula>
    </cfRule>
    <cfRule type="cellIs" dxfId="235" priority="20935" operator="equal">
      <formula>$AZ$21</formula>
    </cfRule>
    <cfRule type="cellIs" dxfId="234" priority="20936" operator="equal">
      <formula>$AZ$20</formula>
    </cfRule>
    <cfRule type="cellIs" dxfId="233" priority="20937" operator="equal">
      <formula>$AZ$19</formula>
    </cfRule>
    <cfRule type="cellIs" dxfId="232" priority="20938" operator="equal">
      <formula>$AZ$18</formula>
    </cfRule>
    <cfRule type="cellIs" dxfId="231" priority="20939" operator="equal">
      <formula>$AZ$17</formula>
    </cfRule>
    <cfRule type="cellIs" dxfId="230" priority="20940" operator="equal">
      <formula>$AZ$16</formula>
    </cfRule>
    <cfRule type="cellIs" dxfId="229" priority="20941" operator="equal">
      <formula>$BE$15</formula>
    </cfRule>
    <cfRule type="cellIs" dxfId="228" priority="20942" operator="equal">
      <formula>$AZ$15</formula>
    </cfRule>
    <cfRule type="cellIs" dxfId="227" priority="20943" operator="equal">
      <formula>$AZ$13</formula>
    </cfRule>
    <cfRule type="cellIs" dxfId="226" priority="31797" operator="equal">
      <formula>$AZ$12</formula>
    </cfRule>
    <cfRule type="cellIs" dxfId="225" priority="31798" operator="equal">
      <formula>$AZ$11</formula>
    </cfRule>
    <cfRule type="cellIs" dxfId="224" priority="31799" operator="equal">
      <formula>$AZ$10</formula>
    </cfRule>
    <cfRule type="cellIs" dxfId="223" priority="31800" operator="equal">
      <formula>$AZ$9</formula>
    </cfRule>
    <cfRule type="cellIs" dxfId="222" priority="31801" operator="equal">
      <formula>$AZ$8</formula>
    </cfRule>
    <cfRule type="cellIs" dxfId="221" priority="31802" operator="equal">
      <formula>$AZ$7</formula>
    </cfRule>
    <cfRule type="cellIs" dxfId="220" priority="31803" operator="equal">
      <formula>$AZ$6</formula>
    </cfRule>
    <cfRule type="cellIs" dxfId="219" priority="31804" operator="equal">
      <formula>$S$45</formula>
    </cfRule>
    <cfRule type="cellIs" dxfId="218" priority="31805" operator="equal">
      <formula>$S$44</formula>
    </cfRule>
    <cfRule type="cellIs" dxfId="217" priority="31806" operator="equal">
      <formula>$S$43</formula>
    </cfRule>
    <cfRule type="cellIs" dxfId="216" priority="31807" operator="equal">
      <formula>$S$42</formula>
    </cfRule>
    <cfRule type="cellIs" dxfId="215" priority="31808" operator="equal">
      <formula>$S$41</formula>
    </cfRule>
    <cfRule type="cellIs" dxfId="214" priority="31809" operator="equal">
      <formula>$S$40</formula>
    </cfRule>
    <cfRule type="cellIs" dxfId="213" priority="31810" operator="equal">
      <formula>$S$39</formula>
    </cfRule>
    <cfRule type="cellIs" dxfId="212" priority="31811" operator="equal">
      <formula>$S$38</formula>
    </cfRule>
    <cfRule type="cellIs" dxfId="211" priority="31812" operator="equal">
      <formula>$S$37</formula>
    </cfRule>
    <cfRule type="cellIs" dxfId="210" priority="31813" operator="equal">
      <formula>$S$36</formula>
    </cfRule>
    <cfRule type="cellIs" dxfId="209" priority="31814" operator="equal">
      <formula>$S$35</formula>
    </cfRule>
    <cfRule type="cellIs" dxfId="208" priority="31815" operator="equal">
      <formula>$S$34</formula>
    </cfRule>
    <cfRule type="cellIs" dxfId="207" priority="31816" operator="equal">
      <formula>$S$33</formula>
    </cfRule>
    <cfRule type="cellIs" dxfId="206" priority="31817" operator="equal">
      <formula>$S$32</formula>
    </cfRule>
    <cfRule type="cellIs" dxfId="205" priority="31818" operator="equal">
      <formula>$C$44</formula>
    </cfRule>
    <cfRule type="cellIs" dxfId="204" priority="31819" operator="equal">
      <formula>$C$43</formula>
    </cfRule>
    <cfRule type="cellIs" dxfId="203" priority="31820" operator="equal">
      <formula>$C$42</formula>
    </cfRule>
    <cfRule type="cellIs" dxfId="202" priority="31821" operator="equal">
      <formula>$C$41</formula>
    </cfRule>
    <cfRule type="cellIs" dxfId="201" priority="31822" operator="equal">
      <formula>$C$40</formula>
    </cfRule>
    <cfRule type="cellIs" dxfId="200" priority="31823" operator="equal">
      <formula>$C$39</formula>
    </cfRule>
    <cfRule type="cellIs" dxfId="199" priority="31824" operator="equal">
      <formula>$C$38</formula>
    </cfRule>
    <cfRule type="cellIs" dxfId="198" priority="31825" operator="equal">
      <formula>$C$37</formula>
    </cfRule>
    <cfRule type="cellIs" dxfId="197" priority="31826" operator="equal">
      <formula>$C$36</formula>
    </cfRule>
    <cfRule type="cellIs" dxfId="196" priority="31827" operator="equal">
      <formula>$C$35</formula>
    </cfRule>
    <cfRule type="cellIs" dxfId="195" priority="31828" operator="equal">
      <formula>$C$34</formula>
    </cfRule>
    <cfRule type="cellIs" dxfId="194" priority="31829" operator="equal">
      <formula>$C$33</formula>
    </cfRule>
    <cfRule type="cellIs" dxfId="193" priority="31830" operator="equal">
      <formula>$C$32</formula>
    </cfRule>
    <cfRule type="cellIs" dxfId="192" priority="31831" operator="equal">
      <formula>$BB$21</formula>
    </cfRule>
    <cfRule type="cellIs" dxfId="191" priority="31832" operator="equal">
      <formula>$BB$20</formula>
    </cfRule>
    <cfRule type="cellIs" dxfId="190" priority="31833" operator="equal">
      <formula>$BB$19</formula>
    </cfRule>
    <cfRule type="cellIs" dxfId="189" priority="31834" operator="equal">
      <formula>$BB$18</formula>
    </cfRule>
    <cfRule type="cellIs" dxfId="188" priority="31835" operator="equal">
      <formula>$BB$17</formula>
    </cfRule>
    <cfRule type="cellIs" dxfId="187" priority="31836" operator="equal">
      <formula>$BB$16</formula>
    </cfRule>
    <cfRule type="cellIs" dxfId="186" priority="31837" operator="equal">
      <formula>$BB$14</formula>
    </cfRule>
    <cfRule type="cellIs" dxfId="185" priority="31838" operator="equal">
      <formula>$BB$15</formula>
    </cfRule>
  </conditionalFormatting>
  <conditionalFormatting sqref="AA21:AG27">
    <cfRule type="cellIs" dxfId="184" priority="32469" operator="equal">
      <formula>$AZ$12</formula>
    </cfRule>
    <cfRule type="cellIs" dxfId="183" priority="32470" operator="equal">
      <formula>$AZ$11</formula>
    </cfRule>
    <cfRule type="cellIs" dxfId="182" priority="32471" operator="equal">
      <formula>$AZ$10</formula>
    </cfRule>
    <cfRule type="cellIs" dxfId="181" priority="32472" operator="equal">
      <formula>$AZ$9</formula>
    </cfRule>
    <cfRule type="cellIs" dxfId="180" priority="32473" operator="equal">
      <formula>$AZ$8</formula>
    </cfRule>
    <cfRule type="cellIs" dxfId="179" priority="32474" operator="equal">
      <formula>$AZ$7</formula>
    </cfRule>
    <cfRule type="cellIs" dxfId="178" priority="32475" operator="equal">
      <formula>$AZ$6</formula>
    </cfRule>
    <cfRule type="cellIs" dxfId="177" priority="32476" operator="equal">
      <formula>$S$45</formula>
    </cfRule>
    <cfRule type="cellIs" dxfId="176" priority="32477" operator="equal">
      <formula>$S$44</formula>
    </cfRule>
    <cfRule type="cellIs" dxfId="175" priority="32478" operator="equal">
      <formula>$S$43</formula>
    </cfRule>
    <cfRule type="cellIs" dxfId="174" priority="32479" operator="equal">
      <formula>$S$42</formula>
    </cfRule>
    <cfRule type="cellIs" dxfId="173" priority="32480" operator="equal">
      <formula>$S$41</formula>
    </cfRule>
    <cfRule type="cellIs" dxfId="172" priority="32481" operator="equal">
      <formula>$S$40</formula>
    </cfRule>
    <cfRule type="cellIs" dxfId="171" priority="32482" operator="equal">
      <formula>$S$39</formula>
    </cfRule>
    <cfRule type="cellIs" dxfId="170" priority="32483" operator="equal">
      <formula>$S$38</formula>
    </cfRule>
    <cfRule type="cellIs" dxfId="169" priority="32484" operator="equal">
      <formula>$S$37</formula>
    </cfRule>
    <cfRule type="cellIs" dxfId="168" priority="32485" operator="equal">
      <formula>$S$36</formula>
    </cfRule>
    <cfRule type="cellIs" dxfId="167" priority="32486" operator="equal">
      <formula>$S$35</formula>
    </cfRule>
    <cfRule type="cellIs" dxfId="166" priority="32487" operator="equal">
      <formula>$S$34</formula>
    </cfRule>
    <cfRule type="cellIs" dxfId="165" priority="32488" operator="equal">
      <formula>$S$33</formula>
    </cfRule>
    <cfRule type="cellIs" dxfId="164" priority="32489" operator="equal">
      <formula>$S$32</formula>
    </cfRule>
    <cfRule type="cellIs" dxfId="163" priority="32490" operator="equal">
      <formula>$C$44</formula>
    </cfRule>
    <cfRule type="cellIs" dxfId="162" priority="32491" operator="equal">
      <formula>$C$43</formula>
    </cfRule>
    <cfRule type="cellIs" dxfId="161" priority="32492" operator="equal">
      <formula>$C$42</formula>
    </cfRule>
    <cfRule type="cellIs" dxfId="160" priority="32493" operator="equal">
      <formula>$C$41</formula>
    </cfRule>
    <cfRule type="cellIs" dxfId="159" priority="32494" operator="equal">
      <formula>$C$40</formula>
    </cfRule>
    <cfRule type="cellIs" dxfId="158" priority="32495" operator="equal">
      <formula>$C$39</formula>
    </cfRule>
    <cfRule type="cellIs" dxfId="157" priority="32496" operator="equal">
      <formula>$C$38</formula>
    </cfRule>
    <cfRule type="cellIs" dxfId="156" priority="32497" operator="equal">
      <formula>$C$37</formula>
    </cfRule>
    <cfRule type="cellIs" dxfId="155" priority="32498" operator="equal">
      <formula>$C$36</formula>
    </cfRule>
    <cfRule type="cellIs" dxfId="154" priority="32499" operator="equal">
      <formula>$C$35</formula>
    </cfRule>
    <cfRule type="cellIs" dxfId="153" priority="32500" operator="equal">
      <formula>$C$34</formula>
    </cfRule>
    <cfRule type="cellIs" dxfId="152" priority="32501" operator="equal">
      <formula>$C$33</formula>
    </cfRule>
    <cfRule type="cellIs" dxfId="151" priority="32502" operator="equal">
      <formula>$C$32</formula>
    </cfRule>
    <cfRule type="cellIs" dxfId="150" priority="32503" operator="equal">
      <formula>$BB$21</formula>
    </cfRule>
    <cfRule type="cellIs" dxfId="149" priority="32504" operator="equal">
      <formula>$BB$20</formula>
    </cfRule>
    <cfRule type="cellIs" dxfId="148" priority="32505" operator="equal">
      <formula>$BB$19</formula>
    </cfRule>
    <cfRule type="cellIs" dxfId="147" priority="32506" operator="equal">
      <formula>$BB$18</formula>
    </cfRule>
    <cfRule type="cellIs" dxfId="146" priority="32507" operator="equal">
      <formula>$BB$17</formula>
    </cfRule>
    <cfRule type="cellIs" dxfId="145" priority="32508" operator="equal">
      <formula>$BB$16</formula>
    </cfRule>
    <cfRule type="cellIs" dxfId="144" priority="32509" operator="equal">
      <formula>$BB$14</formula>
    </cfRule>
    <cfRule type="cellIs" dxfId="143" priority="32510" operator="equal">
      <formula>$BB$15</formula>
    </cfRule>
    <cfRule type="cellIs" dxfId="142" priority="32783" operator="equal">
      <formula>$BB$13</formula>
    </cfRule>
    <cfRule type="cellIs" dxfId="141" priority="32784" operator="equal">
      <formula>$BB$12</formula>
    </cfRule>
    <cfRule type="cellIs" dxfId="140" priority="32785" operator="equal">
      <formula>$BB$11</formula>
    </cfRule>
    <cfRule type="cellIs" dxfId="139" priority="32786" operator="equal">
      <formula>$BB$10</formula>
    </cfRule>
    <cfRule type="cellIs" dxfId="138" priority="32787" operator="equal">
      <formula>$BB$9</formula>
    </cfRule>
    <cfRule type="cellIs" dxfId="137" priority="32788" operator="equal">
      <formula>$BB$8</formula>
    </cfRule>
    <cfRule type="cellIs" dxfId="136" priority="32789" operator="equal">
      <formula>$BB$7</formula>
    </cfRule>
    <cfRule type="cellIs" dxfId="135" priority="32790" operator="equal">
      <formula>$BB$6</formula>
    </cfRule>
    <cfRule type="cellIs" dxfId="134" priority="32791" operator="equal">
      <formula>$AZ$21</formula>
    </cfRule>
    <cfRule type="cellIs" dxfId="133" priority="32792" operator="equal">
      <formula>$AZ$20</formula>
    </cfRule>
    <cfRule type="cellIs" dxfId="132" priority="32793" operator="equal">
      <formula>$AZ$19</formula>
    </cfRule>
    <cfRule type="cellIs" dxfId="131" priority="32794" operator="equal">
      <formula>$AZ$18</formula>
    </cfRule>
    <cfRule type="cellIs" dxfId="130" priority="32795" operator="equal">
      <formula>$AZ$17</formula>
    </cfRule>
    <cfRule type="cellIs" dxfId="129" priority="32796" operator="equal">
      <formula>$AZ$16</formula>
    </cfRule>
    <cfRule type="cellIs" dxfId="128" priority="32797" operator="equal">
      <formula>$AZ$14</formula>
    </cfRule>
    <cfRule type="cellIs" dxfId="127" priority="32798" operator="equal">
      <formula>$AZ$15</formula>
    </cfRule>
    <cfRule type="cellIs" dxfId="126" priority="32799" operator="equal">
      <formula>$AZ$13</formula>
    </cfRule>
  </conditionalFormatting>
  <dataValidations count="2">
    <dataValidation allowBlank="1" showInputMessage="1" showErrorMessage="1" errorTitle="Invalid Year" error="Enter a year from 1900 to 9999, or use the scroll bar to find a year." sqref="C2" xr:uid="{00000000-0002-0000-0200-000000000000}"/>
    <dataValidation type="list" showInputMessage="1" showErrorMessage="1" sqref="P6:Q6" xr:uid="{C3AF8A16-3664-4C6E-ACBB-F0725350F059}">
      <formula1>"NORTE,SUR,ESTE,OESTE,METRO,SEDE"</formula1>
    </dataValidation>
  </dataValidations>
  <printOptions horizontalCentered="1" verticalCentered="1"/>
  <pageMargins left="0.5" right="0.5" top="0.5" bottom="0.5" header="0.3" footer="0.3"/>
  <pageSetup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Spinner">
              <controlPr defaultSize="0" print="0" autoPict="0" altText="Use the spinner button to change calendar year or enter year in cell C1">
                <anchor moveWithCells="1">
                  <from>
                    <xdr:col>1</xdr:col>
                    <xdr:colOff>121920</xdr:colOff>
                    <xdr:row>1</xdr:row>
                    <xdr:rowOff>38100</xdr:rowOff>
                  </from>
                  <to>
                    <xdr:col>2</xdr:col>
                    <xdr:colOff>0</xdr:colOff>
                    <xdr:row>1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tableParts count="12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0EF6-D209-46B9-8F85-B5166BC88AD9}">
  <dimension ref="A1:AB41"/>
  <sheetViews>
    <sheetView workbookViewId="0">
      <selection activeCell="AB26" sqref="AB26"/>
    </sheetView>
  </sheetViews>
  <sheetFormatPr defaultRowHeight="10.199999999999999" x14ac:dyDescent="0.2"/>
  <cols>
    <col min="1" max="1" width="5.5703125" bestFit="1" customWidth="1"/>
    <col min="2" max="10" width="11.140625" bestFit="1" customWidth="1"/>
    <col min="11" max="28" width="12.140625" bestFit="1" customWidth="1"/>
  </cols>
  <sheetData>
    <row r="1" spans="1:28" x14ac:dyDescent="0.2">
      <c r="A1" t="s">
        <v>44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17" t="s">
        <v>57</v>
      </c>
      <c r="O1" s="17" t="s">
        <v>58</v>
      </c>
      <c r="P1" s="17" t="s">
        <v>59</v>
      </c>
      <c r="Q1" s="17" t="s">
        <v>60</v>
      </c>
      <c r="R1" s="17" t="s">
        <v>61</v>
      </c>
      <c r="S1" s="17" t="s">
        <v>62</v>
      </c>
      <c r="T1" s="17" t="s">
        <v>63</v>
      </c>
      <c r="U1" s="17" t="s">
        <v>64</v>
      </c>
      <c r="V1" s="17" t="s">
        <v>65</v>
      </c>
      <c r="W1" s="17" t="s">
        <v>66</v>
      </c>
      <c r="X1" s="17" t="s">
        <v>67</v>
      </c>
      <c r="Y1" s="17" t="s">
        <v>68</v>
      </c>
      <c r="Z1" s="17" t="s">
        <v>69</v>
      </c>
      <c r="AA1" s="17" t="s">
        <v>70</v>
      </c>
      <c r="AB1" s="17" t="s">
        <v>71</v>
      </c>
    </row>
    <row r="2" spans="1:28" x14ac:dyDescent="0.2">
      <c r="A2">
        <v>2021</v>
      </c>
      <c r="B2" s="79">
        <v>44209</v>
      </c>
      <c r="C2" s="79">
        <f>B2+14</f>
        <v>44223</v>
      </c>
      <c r="D2" s="79">
        <f t="shared" ref="D2:AA2" si="0">C2+14</f>
        <v>44237</v>
      </c>
      <c r="E2" s="79">
        <f t="shared" si="0"/>
        <v>44251</v>
      </c>
      <c r="F2" s="79">
        <f t="shared" si="0"/>
        <v>44265</v>
      </c>
      <c r="G2" s="79">
        <f t="shared" si="0"/>
        <v>44279</v>
      </c>
      <c r="H2" s="79">
        <f t="shared" si="0"/>
        <v>44293</v>
      </c>
      <c r="I2" s="79">
        <f t="shared" si="0"/>
        <v>44307</v>
      </c>
      <c r="J2" s="79">
        <f t="shared" si="0"/>
        <v>44321</v>
      </c>
      <c r="K2" s="79">
        <f t="shared" si="0"/>
        <v>44335</v>
      </c>
      <c r="L2" s="79">
        <f t="shared" si="0"/>
        <v>44349</v>
      </c>
      <c r="M2" s="79">
        <f t="shared" si="0"/>
        <v>44363</v>
      </c>
      <c r="N2" s="79">
        <f t="shared" si="0"/>
        <v>44377</v>
      </c>
      <c r="O2" s="79">
        <f t="shared" si="0"/>
        <v>44391</v>
      </c>
      <c r="P2" s="79">
        <f t="shared" si="0"/>
        <v>44405</v>
      </c>
      <c r="Q2" s="79">
        <f t="shared" si="0"/>
        <v>44419</v>
      </c>
      <c r="R2" s="79">
        <f t="shared" si="0"/>
        <v>44433</v>
      </c>
      <c r="S2" s="79">
        <f t="shared" si="0"/>
        <v>44447</v>
      </c>
      <c r="T2" s="79">
        <f t="shared" si="0"/>
        <v>44461</v>
      </c>
      <c r="U2" s="79">
        <f t="shared" si="0"/>
        <v>44475</v>
      </c>
      <c r="V2" s="79">
        <f t="shared" si="0"/>
        <v>44489</v>
      </c>
      <c r="W2" s="79">
        <f t="shared" si="0"/>
        <v>44503</v>
      </c>
      <c r="X2" s="79">
        <f t="shared" si="0"/>
        <v>44517</v>
      </c>
      <c r="Y2" s="79">
        <f t="shared" si="0"/>
        <v>44531</v>
      </c>
      <c r="Z2" s="79">
        <f t="shared" si="0"/>
        <v>44545</v>
      </c>
      <c r="AA2" s="79">
        <f t="shared" si="0"/>
        <v>44559</v>
      </c>
      <c r="AB2" t="s">
        <v>72</v>
      </c>
    </row>
    <row r="3" spans="1:28" x14ac:dyDescent="0.2">
      <c r="A3">
        <v>2022</v>
      </c>
      <c r="B3" s="79">
        <f>AA2+14</f>
        <v>44573</v>
      </c>
      <c r="C3" s="79">
        <f>B3+14</f>
        <v>44587</v>
      </c>
      <c r="D3" s="79">
        <f t="shared" ref="D3:AA3" si="1">C3+14</f>
        <v>44601</v>
      </c>
      <c r="E3" s="79">
        <f t="shared" si="1"/>
        <v>44615</v>
      </c>
      <c r="F3" s="79">
        <f t="shared" si="1"/>
        <v>44629</v>
      </c>
      <c r="G3" s="79">
        <f t="shared" si="1"/>
        <v>44643</v>
      </c>
      <c r="H3" s="79">
        <f t="shared" si="1"/>
        <v>44657</v>
      </c>
      <c r="I3" s="79">
        <f t="shared" si="1"/>
        <v>44671</v>
      </c>
      <c r="J3" s="79">
        <f t="shared" si="1"/>
        <v>44685</v>
      </c>
      <c r="K3" s="79">
        <f t="shared" si="1"/>
        <v>44699</v>
      </c>
      <c r="L3" s="79">
        <f t="shared" si="1"/>
        <v>44713</v>
      </c>
      <c r="M3" s="79">
        <f t="shared" si="1"/>
        <v>44727</v>
      </c>
      <c r="N3" s="79">
        <f t="shared" si="1"/>
        <v>44741</v>
      </c>
      <c r="O3" s="79">
        <f t="shared" si="1"/>
        <v>44755</v>
      </c>
      <c r="P3" s="79">
        <f t="shared" si="1"/>
        <v>44769</v>
      </c>
      <c r="Q3" s="79">
        <f t="shared" si="1"/>
        <v>44783</v>
      </c>
      <c r="R3" s="79">
        <f t="shared" si="1"/>
        <v>44797</v>
      </c>
      <c r="S3" s="79">
        <f t="shared" si="1"/>
        <v>44811</v>
      </c>
      <c r="T3" s="79">
        <f t="shared" si="1"/>
        <v>44825</v>
      </c>
      <c r="U3" s="79">
        <f t="shared" si="1"/>
        <v>44839</v>
      </c>
      <c r="V3" s="79">
        <f t="shared" si="1"/>
        <v>44853</v>
      </c>
      <c r="W3" s="79">
        <f t="shared" si="1"/>
        <v>44867</v>
      </c>
      <c r="X3" s="79">
        <f t="shared" si="1"/>
        <v>44881</v>
      </c>
      <c r="Y3" s="79">
        <f t="shared" si="1"/>
        <v>44895</v>
      </c>
      <c r="Z3" s="79">
        <f t="shared" si="1"/>
        <v>44909</v>
      </c>
      <c r="AA3" s="79">
        <f t="shared" si="1"/>
        <v>44923</v>
      </c>
      <c r="AB3" t="s">
        <v>72</v>
      </c>
    </row>
    <row r="4" spans="1:28" x14ac:dyDescent="0.2">
      <c r="A4">
        <v>2023</v>
      </c>
      <c r="B4" s="79">
        <f>AA3+14</f>
        <v>44937</v>
      </c>
      <c r="C4" s="79">
        <f>B4+14</f>
        <v>44951</v>
      </c>
      <c r="D4" s="79">
        <f t="shared" ref="D4:AA5" si="2">C4+14</f>
        <v>44965</v>
      </c>
      <c r="E4" s="79">
        <f t="shared" si="2"/>
        <v>44979</v>
      </c>
      <c r="F4" s="79">
        <f t="shared" si="2"/>
        <v>44993</v>
      </c>
      <c r="G4" s="79">
        <f t="shared" si="2"/>
        <v>45007</v>
      </c>
      <c r="H4" s="79">
        <f t="shared" si="2"/>
        <v>45021</v>
      </c>
      <c r="I4" s="79">
        <f t="shared" si="2"/>
        <v>45035</v>
      </c>
      <c r="J4" s="79">
        <f t="shared" si="2"/>
        <v>45049</v>
      </c>
      <c r="K4" s="79">
        <f t="shared" si="2"/>
        <v>45063</v>
      </c>
      <c r="L4" s="79">
        <f t="shared" si="2"/>
        <v>45077</v>
      </c>
      <c r="M4" s="79">
        <f t="shared" si="2"/>
        <v>45091</v>
      </c>
      <c r="N4" s="79">
        <f t="shared" si="2"/>
        <v>45105</v>
      </c>
      <c r="O4" s="79">
        <f t="shared" si="2"/>
        <v>45119</v>
      </c>
      <c r="P4" s="79">
        <f t="shared" si="2"/>
        <v>45133</v>
      </c>
      <c r="Q4" s="79">
        <f t="shared" si="2"/>
        <v>45147</v>
      </c>
      <c r="R4" s="79">
        <f t="shared" si="2"/>
        <v>45161</v>
      </c>
      <c r="S4" s="79">
        <f t="shared" si="2"/>
        <v>45175</v>
      </c>
      <c r="T4" s="79">
        <f t="shared" si="2"/>
        <v>45189</v>
      </c>
      <c r="U4" s="79">
        <f t="shared" si="2"/>
        <v>45203</v>
      </c>
      <c r="V4" s="79">
        <f t="shared" si="2"/>
        <v>45217</v>
      </c>
      <c r="W4" s="79">
        <f t="shared" si="2"/>
        <v>45231</v>
      </c>
      <c r="X4" s="79">
        <f t="shared" si="2"/>
        <v>45245</v>
      </c>
      <c r="Y4" s="79">
        <f t="shared" si="2"/>
        <v>45259</v>
      </c>
      <c r="Z4" s="79">
        <f t="shared" si="2"/>
        <v>45273</v>
      </c>
      <c r="AA4" s="79">
        <f t="shared" si="2"/>
        <v>45287</v>
      </c>
      <c r="AB4" t="s">
        <v>72</v>
      </c>
    </row>
    <row r="5" spans="1:28" x14ac:dyDescent="0.2">
      <c r="A5">
        <v>2024</v>
      </c>
      <c r="B5" s="79">
        <f>AA4+14</f>
        <v>45301</v>
      </c>
      <c r="C5" s="79">
        <f>B5+14</f>
        <v>45315</v>
      </c>
      <c r="D5" s="79">
        <f t="shared" si="2"/>
        <v>45329</v>
      </c>
      <c r="E5" s="79">
        <f t="shared" si="2"/>
        <v>45343</v>
      </c>
      <c r="F5" s="79">
        <f t="shared" si="2"/>
        <v>45357</v>
      </c>
      <c r="G5" s="79">
        <f t="shared" si="2"/>
        <v>45371</v>
      </c>
      <c r="H5" s="79">
        <f t="shared" si="2"/>
        <v>45385</v>
      </c>
      <c r="I5" s="79">
        <f t="shared" si="2"/>
        <v>45399</v>
      </c>
      <c r="J5" s="79">
        <f t="shared" si="2"/>
        <v>45413</v>
      </c>
      <c r="K5" s="79">
        <f t="shared" si="2"/>
        <v>45427</v>
      </c>
      <c r="L5" s="79">
        <f t="shared" si="2"/>
        <v>45441</v>
      </c>
      <c r="M5" s="79">
        <f t="shared" si="2"/>
        <v>45455</v>
      </c>
      <c r="N5" s="79">
        <f t="shared" si="2"/>
        <v>45469</v>
      </c>
      <c r="O5" s="79">
        <f t="shared" si="2"/>
        <v>45483</v>
      </c>
      <c r="P5" s="79">
        <f t="shared" si="2"/>
        <v>45497</v>
      </c>
      <c r="Q5" s="79">
        <f t="shared" si="2"/>
        <v>45511</v>
      </c>
      <c r="R5" s="79">
        <f t="shared" si="2"/>
        <v>45525</v>
      </c>
      <c r="S5" s="79">
        <f t="shared" si="2"/>
        <v>45539</v>
      </c>
      <c r="T5" s="79">
        <f t="shared" si="2"/>
        <v>45553</v>
      </c>
      <c r="U5" s="79">
        <f t="shared" si="2"/>
        <v>45567</v>
      </c>
      <c r="V5" s="79">
        <f t="shared" si="2"/>
        <v>45581</v>
      </c>
      <c r="W5" s="79">
        <f t="shared" si="2"/>
        <v>45595</v>
      </c>
      <c r="X5" s="79">
        <f t="shared" si="2"/>
        <v>45609</v>
      </c>
      <c r="Y5" s="79">
        <f t="shared" si="2"/>
        <v>45623</v>
      </c>
      <c r="Z5" s="79">
        <f t="shared" si="2"/>
        <v>45637</v>
      </c>
      <c r="AA5" s="79">
        <f t="shared" si="2"/>
        <v>45651</v>
      </c>
      <c r="AB5" t="s">
        <v>72</v>
      </c>
    </row>
    <row r="6" spans="1:28" x14ac:dyDescent="0.2">
      <c r="A6">
        <v>2025</v>
      </c>
      <c r="B6" s="79">
        <f t="shared" ref="B6:B11" si="3">AA5+14</f>
        <v>45665</v>
      </c>
      <c r="C6" s="79">
        <f t="shared" ref="C6:AA6" si="4">B6+14</f>
        <v>45679</v>
      </c>
      <c r="D6" s="79">
        <f t="shared" si="4"/>
        <v>45693</v>
      </c>
      <c r="E6" s="79">
        <f t="shared" si="4"/>
        <v>45707</v>
      </c>
      <c r="F6" s="79">
        <f t="shared" si="4"/>
        <v>45721</v>
      </c>
      <c r="G6" s="79">
        <f t="shared" si="4"/>
        <v>45735</v>
      </c>
      <c r="H6" s="79">
        <f t="shared" si="4"/>
        <v>45749</v>
      </c>
      <c r="I6" s="79">
        <f t="shared" si="4"/>
        <v>45763</v>
      </c>
      <c r="J6" s="79">
        <f t="shared" si="4"/>
        <v>45777</v>
      </c>
      <c r="K6" s="79">
        <f t="shared" si="4"/>
        <v>45791</v>
      </c>
      <c r="L6" s="79">
        <f t="shared" si="4"/>
        <v>45805</v>
      </c>
      <c r="M6" s="79">
        <f t="shared" si="4"/>
        <v>45819</v>
      </c>
      <c r="N6" s="79">
        <f t="shared" si="4"/>
        <v>45833</v>
      </c>
      <c r="O6" s="79">
        <f t="shared" si="4"/>
        <v>45847</v>
      </c>
      <c r="P6" s="79">
        <f t="shared" si="4"/>
        <v>45861</v>
      </c>
      <c r="Q6" s="79">
        <f t="shared" si="4"/>
        <v>45875</v>
      </c>
      <c r="R6" s="79">
        <f t="shared" si="4"/>
        <v>45889</v>
      </c>
      <c r="S6" s="79">
        <f t="shared" si="4"/>
        <v>45903</v>
      </c>
      <c r="T6" s="79">
        <f t="shared" si="4"/>
        <v>45917</v>
      </c>
      <c r="U6" s="79">
        <f t="shared" si="4"/>
        <v>45931</v>
      </c>
      <c r="V6" s="79">
        <f t="shared" si="4"/>
        <v>45945</v>
      </c>
      <c r="W6" s="79">
        <f t="shared" si="4"/>
        <v>45959</v>
      </c>
      <c r="X6" s="79">
        <f t="shared" si="4"/>
        <v>45973</v>
      </c>
      <c r="Y6" s="79">
        <f t="shared" si="4"/>
        <v>45987</v>
      </c>
      <c r="Z6" s="79">
        <f t="shared" si="4"/>
        <v>46001</v>
      </c>
      <c r="AA6" s="79">
        <f t="shared" si="4"/>
        <v>46015</v>
      </c>
      <c r="AB6" t="s">
        <v>72</v>
      </c>
    </row>
    <row r="7" spans="1:28" x14ac:dyDescent="0.2">
      <c r="A7">
        <v>2026</v>
      </c>
      <c r="B7" s="79">
        <f t="shared" si="3"/>
        <v>46029</v>
      </c>
      <c r="C7" s="79">
        <f t="shared" ref="C7:AA7" si="5">B7+14</f>
        <v>46043</v>
      </c>
      <c r="D7" s="79">
        <f t="shared" si="5"/>
        <v>46057</v>
      </c>
      <c r="E7" s="79">
        <f t="shared" si="5"/>
        <v>46071</v>
      </c>
      <c r="F7" s="79">
        <f t="shared" si="5"/>
        <v>46085</v>
      </c>
      <c r="G7" s="79">
        <f t="shared" si="5"/>
        <v>46099</v>
      </c>
      <c r="H7" s="79">
        <f t="shared" si="5"/>
        <v>46113</v>
      </c>
      <c r="I7" s="79">
        <f t="shared" si="5"/>
        <v>46127</v>
      </c>
      <c r="J7" s="79">
        <f t="shared" si="5"/>
        <v>46141</v>
      </c>
      <c r="K7" s="79">
        <f t="shared" si="5"/>
        <v>46155</v>
      </c>
      <c r="L7" s="79">
        <f t="shared" si="5"/>
        <v>46169</v>
      </c>
      <c r="M7" s="79">
        <f t="shared" si="5"/>
        <v>46183</v>
      </c>
      <c r="N7" s="79">
        <f t="shared" si="5"/>
        <v>46197</v>
      </c>
      <c r="O7" s="79">
        <f t="shared" si="5"/>
        <v>46211</v>
      </c>
      <c r="P7" s="79">
        <f t="shared" si="5"/>
        <v>46225</v>
      </c>
      <c r="Q7" s="79">
        <f t="shared" si="5"/>
        <v>46239</v>
      </c>
      <c r="R7" s="79">
        <f t="shared" si="5"/>
        <v>46253</v>
      </c>
      <c r="S7" s="79">
        <f t="shared" si="5"/>
        <v>46267</v>
      </c>
      <c r="T7" s="79">
        <f t="shared" si="5"/>
        <v>46281</v>
      </c>
      <c r="U7" s="79">
        <f t="shared" si="5"/>
        <v>46295</v>
      </c>
      <c r="V7" s="79">
        <f t="shared" si="5"/>
        <v>46309</v>
      </c>
      <c r="W7" s="79">
        <f t="shared" si="5"/>
        <v>46323</v>
      </c>
      <c r="X7" s="79">
        <f t="shared" si="5"/>
        <v>46337</v>
      </c>
      <c r="Y7" s="79">
        <f t="shared" si="5"/>
        <v>46351</v>
      </c>
      <c r="Z7" s="79">
        <f t="shared" si="5"/>
        <v>46365</v>
      </c>
      <c r="AA7" s="79">
        <f t="shared" si="5"/>
        <v>46379</v>
      </c>
      <c r="AB7" t="s">
        <v>72</v>
      </c>
    </row>
    <row r="8" spans="1:28" x14ac:dyDescent="0.2">
      <c r="A8">
        <v>2027</v>
      </c>
      <c r="B8" s="79">
        <f t="shared" si="3"/>
        <v>46393</v>
      </c>
      <c r="C8" s="79">
        <f t="shared" ref="C8:AA8" si="6">B8+14</f>
        <v>46407</v>
      </c>
      <c r="D8" s="79">
        <f t="shared" si="6"/>
        <v>46421</v>
      </c>
      <c r="E8" s="79">
        <f t="shared" si="6"/>
        <v>46435</v>
      </c>
      <c r="F8" s="79">
        <f t="shared" si="6"/>
        <v>46449</v>
      </c>
      <c r="G8" s="79">
        <f t="shared" si="6"/>
        <v>46463</v>
      </c>
      <c r="H8" s="79">
        <f t="shared" si="6"/>
        <v>46477</v>
      </c>
      <c r="I8" s="79">
        <f t="shared" si="6"/>
        <v>46491</v>
      </c>
      <c r="J8" s="79">
        <f t="shared" si="6"/>
        <v>46505</v>
      </c>
      <c r="K8" s="79">
        <f t="shared" si="6"/>
        <v>46519</v>
      </c>
      <c r="L8" s="79">
        <f t="shared" si="6"/>
        <v>46533</v>
      </c>
      <c r="M8" s="79">
        <f t="shared" si="6"/>
        <v>46547</v>
      </c>
      <c r="N8" s="79">
        <f t="shared" si="6"/>
        <v>46561</v>
      </c>
      <c r="O8" s="79">
        <f t="shared" si="6"/>
        <v>46575</v>
      </c>
      <c r="P8" s="79">
        <f t="shared" si="6"/>
        <v>46589</v>
      </c>
      <c r="Q8" s="79">
        <f t="shared" si="6"/>
        <v>46603</v>
      </c>
      <c r="R8" s="79">
        <f t="shared" si="6"/>
        <v>46617</v>
      </c>
      <c r="S8" s="79">
        <f t="shared" si="6"/>
        <v>46631</v>
      </c>
      <c r="T8" s="79">
        <f t="shared" si="6"/>
        <v>46645</v>
      </c>
      <c r="U8" s="79">
        <f t="shared" si="6"/>
        <v>46659</v>
      </c>
      <c r="V8" s="79">
        <f t="shared" si="6"/>
        <v>46673</v>
      </c>
      <c r="W8" s="79">
        <f t="shared" si="6"/>
        <v>46687</v>
      </c>
      <c r="X8" s="79">
        <f t="shared" si="6"/>
        <v>46701</v>
      </c>
      <c r="Y8" s="79">
        <f t="shared" si="6"/>
        <v>46715</v>
      </c>
      <c r="Z8" s="79">
        <f t="shared" si="6"/>
        <v>46729</v>
      </c>
      <c r="AA8" s="79">
        <f t="shared" si="6"/>
        <v>46743</v>
      </c>
      <c r="AB8" t="s">
        <v>72</v>
      </c>
    </row>
    <row r="9" spans="1:28" x14ac:dyDescent="0.2">
      <c r="A9">
        <v>2028</v>
      </c>
      <c r="B9" s="79">
        <f t="shared" si="3"/>
        <v>46757</v>
      </c>
      <c r="C9" s="79">
        <f t="shared" ref="C9:AA9" si="7">B9+14</f>
        <v>46771</v>
      </c>
      <c r="D9" s="79">
        <f t="shared" si="7"/>
        <v>46785</v>
      </c>
      <c r="E9" s="79">
        <f t="shared" si="7"/>
        <v>46799</v>
      </c>
      <c r="F9" s="79">
        <f t="shared" si="7"/>
        <v>46813</v>
      </c>
      <c r="G9" s="79">
        <f t="shared" si="7"/>
        <v>46827</v>
      </c>
      <c r="H9" s="79">
        <f t="shared" si="7"/>
        <v>46841</v>
      </c>
      <c r="I9" s="79">
        <f t="shared" si="7"/>
        <v>46855</v>
      </c>
      <c r="J9" s="79">
        <f t="shared" si="7"/>
        <v>46869</v>
      </c>
      <c r="K9" s="79">
        <f t="shared" si="7"/>
        <v>46883</v>
      </c>
      <c r="L9" s="79">
        <f t="shared" si="7"/>
        <v>46897</v>
      </c>
      <c r="M9" s="79">
        <f t="shared" si="7"/>
        <v>46911</v>
      </c>
      <c r="N9" s="79">
        <f t="shared" si="7"/>
        <v>46925</v>
      </c>
      <c r="O9" s="79">
        <f t="shared" si="7"/>
        <v>46939</v>
      </c>
      <c r="P9" s="79">
        <f t="shared" si="7"/>
        <v>46953</v>
      </c>
      <c r="Q9" s="79">
        <f t="shared" si="7"/>
        <v>46967</v>
      </c>
      <c r="R9" s="79">
        <f t="shared" si="7"/>
        <v>46981</v>
      </c>
      <c r="S9" s="79">
        <f t="shared" si="7"/>
        <v>46995</v>
      </c>
      <c r="T9" s="79">
        <f t="shared" si="7"/>
        <v>47009</v>
      </c>
      <c r="U9" s="79">
        <f t="shared" si="7"/>
        <v>47023</v>
      </c>
      <c r="V9" s="79">
        <f t="shared" si="7"/>
        <v>47037</v>
      </c>
      <c r="W9" s="79">
        <f t="shared" si="7"/>
        <v>47051</v>
      </c>
      <c r="X9" s="79">
        <f t="shared" si="7"/>
        <v>47065</v>
      </c>
      <c r="Y9" s="79">
        <f t="shared" si="7"/>
        <v>47079</v>
      </c>
      <c r="Z9" s="79">
        <f t="shared" si="7"/>
        <v>47093</v>
      </c>
      <c r="AA9" s="79">
        <f t="shared" si="7"/>
        <v>47107</v>
      </c>
      <c r="AB9" t="s">
        <v>72</v>
      </c>
    </row>
    <row r="10" spans="1:28" x14ac:dyDescent="0.2">
      <c r="A10">
        <v>2029</v>
      </c>
      <c r="B10" s="79">
        <f t="shared" si="3"/>
        <v>47121</v>
      </c>
      <c r="C10" s="79">
        <f t="shared" ref="C10:AA10" si="8">B10+14</f>
        <v>47135</v>
      </c>
      <c r="D10" s="79">
        <f t="shared" si="8"/>
        <v>47149</v>
      </c>
      <c r="E10" s="79">
        <f t="shared" si="8"/>
        <v>47163</v>
      </c>
      <c r="F10" s="79">
        <f t="shared" si="8"/>
        <v>47177</v>
      </c>
      <c r="G10" s="79">
        <f t="shared" si="8"/>
        <v>47191</v>
      </c>
      <c r="H10" s="79">
        <f t="shared" si="8"/>
        <v>47205</v>
      </c>
      <c r="I10" s="79">
        <f t="shared" si="8"/>
        <v>47219</v>
      </c>
      <c r="J10" s="79">
        <f t="shared" si="8"/>
        <v>47233</v>
      </c>
      <c r="K10" s="79">
        <f t="shared" si="8"/>
        <v>47247</v>
      </c>
      <c r="L10" s="79">
        <f t="shared" si="8"/>
        <v>47261</v>
      </c>
      <c r="M10" s="79">
        <f t="shared" si="8"/>
        <v>47275</v>
      </c>
      <c r="N10" s="79">
        <f t="shared" si="8"/>
        <v>47289</v>
      </c>
      <c r="O10" s="79">
        <f t="shared" si="8"/>
        <v>47303</v>
      </c>
      <c r="P10" s="79">
        <f t="shared" si="8"/>
        <v>47317</v>
      </c>
      <c r="Q10" s="79">
        <f t="shared" si="8"/>
        <v>47331</v>
      </c>
      <c r="R10" s="79">
        <f t="shared" si="8"/>
        <v>47345</v>
      </c>
      <c r="S10" s="79">
        <f t="shared" si="8"/>
        <v>47359</v>
      </c>
      <c r="T10" s="79">
        <f t="shared" si="8"/>
        <v>47373</v>
      </c>
      <c r="U10" s="79">
        <f t="shared" si="8"/>
        <v>47387</v>
      </c>
      <c r="V10" s="79">
        <f t="shared" si="8"/>
        <v>47401</v>
      </c>
      <c r="W10" s="79">
        <f t="shared" si="8"/>
        <v>47415</v>
      </c>
      <c r="X10" s="79">
        <f t="shared" si="8"/>
        <v>47429</v>
      </c>
      <c r="Y10" s="79">
        <f t="shared" si="8"/>
        <v>47443</v>
      </c>
      <c r="Z10" s="79">
        <f t="shared" si="8"/>
        <v>47457</v>
      </c>
      <c r="AA10" s="79">
        <f t="shared" si="8"/>
        <v>47471</v>
      </c>
      <c r="AB10" t="s">
        <v>72</v>
      </c>
    </row>
    <row r="11" spans="1:28" x14ac:dyDescent="0.2">
      <c r="A11">
        <v>2030</v>
      </c>
      <c r="B11" s="79">
        <f t="shared" si="3"/>
        <v>47485</v>
      </c>
      <c r="C11" s="79">
        <f t="shared" ref="C11:AA21" si="9">B11+14</f>
        <v>47499</v>
      </c>
      <c r="D11" s="79">
        <f t="shared" si="9"/>
        <v>47513</v>
      </c>
      <c r="E11" s="79">
        <f t="shared" si="9"/>
        <v>47527</v>
      </c>
      <c r="F11" s="79">
        <f t="shared" si="9"/>
        <v>47541</v>
      </c>
      <c r="G11" s="79">
        <f t="shared" si="9"/>
        <v>47555</v>
      </c>
      <c r="H11" s="79">
        <f t="shared" si="9"/>
        <v>47569</v>
      </c>
      <c r="I11" s="79">
        <f t="shared" si="9"/>
        <v>47583</v>
      </c>
      <c r="J11" s="79">
        <f t="shared" si="9"/>
        <v>47597</v>
      </c>
      <c r="K11" s="79">
        <f t="shared" si="9"/>
        <v>47611</v>
      </c>
      <c r="L11" s="79">
        <f t="shared" si="9"/>
        <v>47625</v>
      </c>
      <c r="M11" s="79">
        <f t="shared" si="9"/>
        <v>47639</v>
      </c>
      <c r="N11" s="79">
        <f t="shared" si="9"/>
        <v>47653</v>
      </c>
      <c r="O11" s="79">
        <f t="shared" si="9"/>
        <v>47667</v>
      </c>
      <c r="P11" s="79">
        <f t="shared" si="9"/>
        <v>47681</v>
      </c>
      <c r="Q11" s="79">
        <f t="shared" si="9"/>
        <v>47695</v>
      </c>
      <c r="R11" s="79">
        <f t="shared" si="9"/>
        <v>47709</v>
      </c>
      <c r="S11" s="79">
        <f t="shared" si="9"/>
        <v>47723</v>
      </c>
      <c r="T11" s="79">
        <f t="shared" si="9"/>
        <v>47737</v>
      </c>
      <c r="U11" s="79">
        <f t="shared" si="9"/>
        <v>47751</v>
      </c>
      <c r="V11" s="79">
        <f t="shared" si="9"/>
        <v>47765</v>
      </c>
      <c r="W11" s="79">
        <f t="shared" si="9"/>
        <v>47779</v>
      </c>
      <c r="X11" s="79">
        <f t="shared" si="9"/>
        <v>47793</v>
      </c>
      <c r="Y11" s="79">
        <f t="shared" si="9"/>
        <v>47807</v>
      </c>
      <c r="Z11" s="79">
        <f t="shared" si="9"/>
        <v>47821</v>
      </c>
      <c r="AA11" s="79">
        <f t="shared" si="9"/>
        <v>47835</v>
      </c>
      <c r="AB11" s="79" t="s">
        <v>72</v>
      </c>
    </row>
    <row r="12" spans="1:28" x14ac:dyDescent="0.2">
      <c r="A12">
        <v>2031</v>
      </c>
      <c r="B12" s="79">
        <f>AA11+14</f>
        <v>47849</v>
      </c>
      <c r="C12" s="79">
        <f t="shared" si="9"/>
        <v>47863</v>
      </c>
      <c r="D12" s="79">
        <f t="shared" si="9"/>
        <v>47877</v>
      </c>
      <c r="E12" s="79">
        <f t="shared" si="9"/>
        <v>47891</v>
      </c>
      <c r="F12" s="79">
        <f t="shared" si="9"/>
        <v>47905</v>
      </c>
      <c r="G12" s="79">
        <f t="shared" si="9"/>
        <v>47919</v>
      </c>
      <c r="H12" s="79">
        <f t="shared" si="9"/>
        <v>47933</v>
      </c>
      <c r="I12" s="79">
        <f t="shared" si="9"/>
        <v>47947</v>
      </c>
      <c r="J12" s="79">
        <f t="shared" si="9"/>
        <v>47961</v>
      </c>
      <c r="K12" s="79">
        <f t="shared" si="9"/>
        <v>47975</v>
      </c>
      <c r="L12" s="79">
        <f t="shared" si="9"/>
        <v>47989</v>
      </c>
      <c r="M12" s="79">
        <f t="shared" si="9"/>
        <v>48003</v>
      </c>
      <c r="N12" s="79">
        <f t="shared" si="9"/>
        <v>48017</v>
      </c>
      <c r="O12" s="79">
        <f t="shared" si="9"/>
        <v>48031</v>
      </c>
      <c r="P12" s="79">
        <f t="shared" si="9"/>
        <v>48045</v>
      </c>
      <c r="Q12" s="79">
        <f t="shared" si="9"/>
        <v>48059</v>
      </c>
      <c r="R12" s="79">
        <f t="shared" si="9"/>
        <v>48073</v>
      </c>
      <c r="S12" s="79">
        <f t="shared" si="9"/>
        <v>48087</v>
      </c>
      <c r="T12" s="79">
        <f t="shared" si="9"/>
        <v>48101</v>
      </c>
      <c r="U12" s="79">
        <f t="shared" si="9"/>
        <v>48115</v>
      </c>
      <c r="V12" s="79">
        <f t="shared" si="9"/>
        <v>48129</v>
      </c>
      <c r="W12" s="79">
        <f t="shared" si="9"/>
        <v>48143</v>
      </c>
      <c r="X12" s="79">
        <f t="shared" si="9"/>
        <v>48157</v>
      </c>
      <c r="Y12" s="79">
        <f t="shared" si="9"/>
        <v>48171</v>
      </c>
      <c r="Z12" s="79">
        <f t="shared" si="9"/>
        <v>48185</v>
      </c>
      <c r="AA12" s="79">
        <f t="shared" si="9"/>
        <v>48199</v>
      </c>
      <c r="AB12" s="79">
        <f>AA12+14</f>
        <v>48213</v>
      </c>
    </row>
    <row r="13" spans="1:28" x14ac:dyDescent="0.2">
      <c r="A13">
        <v>2032</v>
      </c>
      <c r="B13" s="79">
        <f>AB12+14</f>
        <v>48227</v>
      </c>
      <c r="C13" s="79">
        <f t="shared" si="9"/>
        <v>48241</v>
      </c>
      <c r="D13" s="79">
        <f t="shared" si="9"/>
        <v>48255</v>
      </c>
      <c r="E13" s="79">
        <f t="shared" si="9"/>
        <v>48269</v>
      </c>
      <c r="F13" s="79">
        <f t="shared" si="9"/>
        <v>48283</v>
      </c>
      <c r="G13" s="79">
        <f t="shared" si="9"/>
        <v>48297</v>
      </c>
      <c r="H13" s="79">
        <f t="shared" si="9"/>
        <v>48311</v>
      </c>
      <c r="I13" s="79">
        <f t="shared" si="9"/>
        <v>48325</v>
      </c>
      <c r="J13" s="79">
        <f t="shared" si="9"/>
        <v>48339</v>
      </c>
      <c r="K13" s="79">
        <f t="shared" si="9"/>
        <v>48353</v>
      </c>
      <c r="L13" s="79">
        <f t="shared" si="9"/>
        <v>48367</v>
      </c>
      <c r="M13" s="79">
        <f t="shared" si="9"/>
        <v>48381</v>
      </c>
      <c r="N13" s="79">
        <f t="shared" si="9"/>
        <v>48395</v>
      </c>
      <c r="O13" s="79">
        <f t="shared" si="9"/>
        <v>48409</v>
      </c>
      <c r="P13" s="79">
        <f t="shared" si="9"/>
        <v>48423</v>
      </c>
      <c r="Q13" s="79">
        <f t="shared" si="9"/>
        <v>48437</v>
      </c>
      <c r="R13" s="79">
        <f t="shared" si="9"/>
        <v>48451</v>
      </c>
      <c r="S13" s="79">
        <f t="shared" si="9"/>
        <v>48465</v>
      </c>
      <c r="T13" s="79">
        <f t="shared" si="9"/>
        <v>48479</v>
      </c>
      <c r="U13" s="79">
        <f t="shared" si="9"/>
        <v>48493</v>
      </c>
      <c r="V13" s="79">
        <f t="shared" si="9"/>
        <v>48507</v>
      </c>
      <c r="W13" s="79">
        <f t="shared" si="9"/>
        <v>48521</v>
      </c>
      <c r="X13" s="79">
        <f t="shared" si="9"/>
        <v>48535</v>
      </c>
      <c r="Y13" s="79">
        <f t="shared" si="9"/>
        <v>48549</v>
      </c>
      <c r="Z13" s="79">
        <f t="shared" si="9"/>
        <v>48563</v>
      </c>
      <c r="AA13" s="79">
        <f t="shared" si="9"/>
        <v>48577</v>
      </c>
      <c r="AB13" t="s">
        <v>72</v>
      </c>
    </row>
    <row r="14" spans="1:28" x14ac:dyDescent="0.2">
      <c r="A14">
        <v>2033</v>
      </c>
      <c r="B14" s="79">
        <f t="shared" ref="B14:B23" si="10">AA13+14</f>
        <v>48591</v>
      </c>
      <c r="C14" s="79">
        <f t="shared" si="9"/>
        <v>48605</v>
      </c>
      <c r="D14" s="79">
        <f t="shared" si="9"/>
        <v>48619</v>
      </c>
      <c r="E14" s="79">
        <f t="shared" si="9"/>
        <v>48633</v>
      </c>
      <c r="F14" s="79">
        <f t="shared" si="9"/>
        <v>48647</v>
      </c>
      <c r="G14" s="79">
        <f t="shared" si="9"/>
        <v>48661</v>
      </c>
      <c r="H14" s="79">
        <f t="shared" si="9"/>
        <v>48675</v>
      </c>
      <c r="I14" s="79">
        <f t="shared" si="9"/>
        <v>48689</v>
      </c>
      <c r="J14" s="79">
        <f t="shared" si="9"/>
        <v>48703</v>
      </c>
      <c r="K14" s="79">
        <f t="shared" si="9"/>
        <v>48717</v>
      </c>
      <c r="L14" s="79">
        <f t="shared" si="9"/>
        <v>48731</v>
      </c>
      <c r="M14" s="79">
        <f t="shared" si="9"/>
        <v>48745</v>
      </c>
      <c r="N14" s="79">
        <f t="shared" si="9"/>
        <v>48759</v>
      </c>
      <c r="O14" s="79">
        <f t="shared" si="9"/>
        <v>48773</v>
      </c>
      <c r="P14" s="79">
        <f t="shared" si="9"/>
        <v>48787</v>
      </c>
      <c r="Q14" s="79">
        <f t="shared" si="9"/>
        <v>48801</v>
      </c>
      <c r="R14" s="79">
        <f t="shared" si="9"/>
        <v>48815</v>
      </c>
      <c r="S14" s="79">
        <f t="shared" si="9"/>
        <v>48829</v>
      </c>
      <c r="T14" s="79">
        <f t="shared" si="9"/>
        <v>48843</v>
      </c>
      <c r="U14" s="79">
        <f t="shared" si="9"/>
        <v>48857</v>
      </c>
      <c r="V14" s="79">
        <f t="shared" si="9"/>
        <v>48871</v>
      </c>
      <c r="W14" s="79">
        <f t="shared" si="9"/>
        <v>48885</v>
      </c>
      <c r="X14" s="79">
        <f t="shared" si="9"/>
        <v>48899</v>
      </c>
      <c r="Y14" s="79">
        <f t="shared" si="9"/>
        <v>48913</v>
      </c>
      <c r="Z14" s="79">
        <f t="shared" si="9"/>
        <v>48927</v>
      </c>
      <c r="AA14" s="79">
        <f t="shared" si="9"/>
        <v>48941</v>
      </c>
      <c r="AB14" t="s">
        <v>72</v>
      </c>
    </row>
    <row r="15" spans="1:28" x14ac:dyDescent="0.2">
      <c r="A15">
        <v>2034</v>
      </c>
      <c r="B15" s="79">
        <f t="shared" si="10"/>
        <v>48955</v>
      </c>
      <c r="C15" s="79">
        <f t="shared" si="9"/>
        <v>48969</v>
      </c>
      <c r="D15" s="79">
        <f t="shared" si="9"/>
        <v>48983</v>
      </c>
      <c r="E15" s="79">
        <f t="shared" si="9"/>
        <v>48997</v>
      </c>
      <c r="F15" s="79">
        <f t="shared" si="9"/>
        <v>49011</v>
      </c>
      <c r="G15" s="79">
        <f t="shared" si="9"/>
        <v>49025</v>
      </c>
      <c r="H15" s="79">
        <f t="shared" si="9"/>
        <v>49039</v>
      </c>
      <c r="I15" s="79">
        <f t="shared" si="9"/>
        <v>49053</v>
      </c>
      <c r="J15" s="79">
        <f t="shared" si="9"/>
        <v>49067</v>
      </c>
      <c r="K15" s="79">
        <f t="shared" si="9"/>
        <v>49081</v>
      </c>
      <c r="L15" s="79">
        <f t="shared" si="9"/>
        <v>49095</v>
      </c>
      <c r="M15" s="79">
        <f t="shared" si="9"/>
        <v>49109</v>
      </c>
      <c r="N15" s="79">
        <f t="shared" si="9"/>
        <v>49123</v>
      </c>
      <c r="O15" s="79">
        <f t="shared" si="9"/>
        <v>49137</v>
      </c>
      <c r="P15" s="79">
        <f t="shared" si="9"/>
        <v>49151</v>
      </c>
      <c r="Q15" s="79">
        <f t="shared" si="9"/>
        <v>49165</v>
      </c>
      <c r="R15" s="79">
        <f t="shared" si="9"/>
        <v>49179</v>
      </c>
      <c r="S15" s="79">
        <f t="shared" si="9"/>
        <v>49193</v>
      </c>
      <c r="T15" s="79">
        <f t="shared" si="9"/>
        <v>49207</v>
      </c>
      <c r="U15" s="79">
        <f t="shared" si="9"/>
        <v>49221</v>
      </c>
      <c r="V15" s="79">
        <f t="shared" si="9"/>
        <v>49235</v>
      </c>
      <c r="W15" s="79">
        <f t="shared" si="9"/>
        <v>49249</v>
      </c>
      <c r="X15" s="79">
        <f t="shared" si="9"/>
        <v>49263</v>
      </c>
      <c r="Y15" s="79">
        <f t="shared" si="9"/>
        <v>49277</v>
      </c>
      <c r="Z15" s="79">
        <f t="shared" si="9"/>
        <v>49291</v>
      </c>
      <c r="AA15" s="79">
        <f t="shared" si="9"/>
        <v>49305</v>
      </c>
      <c r="AB15" t="s">
        <v>72</v>
      </c>
    </row>
    <row r="16" spans="1:28" x14ac:dyDescent="0.2">
      <c r="A16">
        <v>2035</v>
      </c>
      <c r="B16" s="79">
        <f t="shared" si="10"/>
        <v>49319</v>
      </c>
      <c r="C16" s="79">
        <f t="shared" si="9"/>
        <v>49333</v>
      </c>
      <c r="D16" s="79">
        <f t="shared" si="9"/>
        <v>49347</v>
      </c>
      <c r="E16" s="79">
        <f t="shared" si="9"/>
        <v>49361</v>
      </c>
      <c r="F16" s="79">
        <f t="shared" si="9"/>
        <v>49375</v>
      </c>
      <c r="G16" s="79">
        <f t="shared" si="9"/>
        <v>49389</v>
      </c>
      <c r="H16" s="79">
        <f t="shared" si="9"/>
        <v>49403</v>
      </c>
      <c r="I16" s="79">
        <f t="shared" si="9"/>
        <v>49417</v>
      </c>
      <c r="J16" s="79">
        <f t="shared" si="9"/>
        <v>49431</v>
      </c>
      <c r="K16" s="79">
        <f t="shared" si="9"/>
        <v>49445</v>
      </c>
      <c r="L16" s="79">
        <f t="shared" si="9"/>
        <v>49459</v>
      </c>
      <c r="M16" s="79">
        <f t="shared" si="9"/>
        <v>49473</v>
      </c>
      <c r="N16" s="79">
        <f t="shared" si="9"/>
        <v>49487</v>
      </c>
      <c r="O16" s="79">
        <f t="shared" si="9"/>
        <v>49501</v>
      </c>
      <c r="P16" s="79">
        <f t="shared" si="9"/>
        <v>49515</v>
      </c>
      <c r="Q16" s="79">
        <f t="shared" si="9"/>
        <v>49529</v>
      </c>
      <c r="R16" s="79">
        <f t="shared" si="9"/>
        <v>49543</v>
      </c>
      <c r="S16" s="79">
        <f t="shared" si="9"/>
        <v>49557</v>
      </c>
      <c r="T16" s="79">
        <f t="shared" si="9"/>
        <v>49571</v>
      </c>
      <c r="U16" s="79">
        <f t="shared" si="9"/>
        <v>49585</v>
      </c>
      <c r="V16" s="79">
        <f t="shared" si="9"/>
        <v>49599</v>
      </c>
      <c r="W16" s="79">
        <f t="shared" si="9"/>
        <v>49613</v>
      </c>
      <c r="X16" s="79">
        <f t="shared" si="9"/>
        <v>49627</v>
      </c>
      <c r="Y16" s="79">
        <f t="shared" si="9"/>
        <v>49641</v>
      </c>
      <c r="Z16" s="79">
        <f t="shared" si="9"/>
        <v>49655</v>
      </c>
      <c r="AA16" s="79">
        <f t="shared" si="9"/>
        <v>49669</v>
      </c>
      <c r="AB16" t="s">
        <v>72</v>
      </c>
    </row>
    <row r="17" spans="1:28" x14ac:dyDescent="0.2">
      <c r="A17">
        <v>2036</v>
      </c>
      <c r="B17" s="79">
        <f t="shared" si="10"/>
        <v>49683</v>
      </c>
      <c r="C17" s="79">
        <f t="shared" si="9"/>
        <v>49697</v>
      </c>
      <c r="D17" s="79">
        <f t="shared" si="9"/>
        <v>49711</v>
      </c>
      <c r="E17" s="79">
        <f t="shared" si="9"/>
        <v>49725</v>
      </c>
      <c r="F17" s="79">
        <f t="shared" si="9"/>
        <v>49739</v>
      </c>
      <c r="G17" s="79">
        <f t="shared" si="9"/>
        <v>49753</v>
      </c>
      <c r="H17" s="79">
        <f t="shared" si="9"/>
        <v>49767</v>
      </c>
      <c r="I17" s="79">
        <f t="shared" si="9"/>
        <v>49781</v>
      </c>
      <c r="J17" s="79">
        <f t="shared" si="9"/>
        <v>49795</v>
      </c>
      <c r="K17" s="79">
        <f t="shared" si="9"/>
        <v>49809</v>
      </c>
      <c r="L17" s="79">
        <f t="shared" si="9"/>
        <v>49823</v>
      </c>
      <c r="M17" s="79">
        <f t="shared" si="9"/>
        <v>49837</v>
      </c>
      <c r="N17" s="79">
        <f t="shared" si="9"/>
        <v>49851</v>
      </c>
      <c r="O17" s="79">
        <f t="shared" si="9"/>
        <v>49865</v>
      </c>
      <c r="P17" s="79">
        <f t="shared" si="9"/>
        <v>49879</v>
      </c>
      <c r="Q17" s="79">
        <f t="shared" si="9"/>
        <v>49893</v>
      </c>
      <c r="R17" s="79">
        <f t="shared" si="9"/>
        <v>49907</v>
      </c>
      <c r="S17" s="79">
        <f t="shared" si="9"/>
        <v>49921</v>
      </c>
      <c r="T17" s="79">
        <f t="shared" si="9"/>
        <v>49935</v>
      </c>
      <c r="U17" s="79">
        <f t="shared" si="9"/>
        <v>49949</v>
      </c>
      <c r="V17" s="79">
        <f t="shared" si="9"/>
        <v>49963</v>
      </c>
      <c r="W17" s="79">
        <f t="shared" si="9"/>
        <v>49977</v>
      </c>
      <c r="X17" s="79">
        <f t="shared" si="9"/>
        <v>49991</v>
      </c>
      <c r="Y17" s="79">
        <f t="shared" si="9"/>
        <v>50005</v>
      </c>
      <c r="Z17" s="79">
        <f t="shared" si="9"/>
        <v>50019</v>
      </c>
      <c r="AA17" s="79">
        <f t="shared" si="9"/>
        <v>50033</v>
      </c>
      <c r="AB17" t="s">
        <v>72</v>
      </c>
    </row>
    <row r="18" spans="1:28" x14ac:dyDescent="0.2">
      <c r="A18">
        <v>2037</v>
      </c>
      <c r="B18" s="79">
        <f t="shared" si="10"/>
        <v>50047</v>
      </c>
      <c r="C18" s="79">
        <f t="shared" si="9"/>
        <v>50061</v>
      </c>
      <c r="D18" s="79">
        <f t="shared" si="9"/>
        <v>50075</v>
      </c>
      <c r="E18" s="79">
        <f t="shared" si="9"/>
        <v>50089</v>
      </c>
      <c r="F18" s="79">
        <f t="shared" si="9"/>
        <v>50103</v>
      </c>
      <c r="G18" s="79">
        <f t="shared" si="9"/>
        <v>50117</v>
      </c>
      <c r="H18" s="79">
        <f t="shared" si="9"/>
        <v>50131</v>
      </c>
      <c r="I18" s="79">
        <f t="shared" si="9"/>
        <v>50145</v>
      </c>
      <c r="J18" s="79">
        <f t="shared" si="9"/>
        <v>50159</v>
      </c>
      <c r="K18" s="79">
        <f t="shared" si="9"/>
        <v>50173</v>
      </c>
      <c r="L18" s="79">
        <f t="shared" si="9"/>
        <v>50187</v>
      </c>
      <c r="M18" s="79">
        <f t="shared" si="9"/>
        <v>50201</v>
      </c>
      <c r="N18" s="79">
        <f t="shared" si="9"/>
        <v>50215</v>
      </c>
      <c r="O18" s="79">
        <f t="shared" si="9"/>
        <v>50229</v>
      </c>
      <c r="P18" s="79">
        <f t="shared" si="9"/>
        <v>50243</v>
      </c>
      <c r="Q18" s="79">
        <f t="shared" si="9"/>
        <v>50257</v>
      </c>
      <c r="R18" s="79">
        <f t="shared" si="9"/>
        <v>50271</v>
      </c>
      <c r="S18" s="79">
        <f t="shared" si="9"/>
        <v>50285</v>
      </c>
      <c r="T18" s="79">
        <f t="shared" si="9"/>
        <v>50299</v>
      </c>
      <c r="U18" s="79">
        <f t="shared" si="9"/>
        <v>50313</v>
      </c>
      <c r="V18" s="79">
        <f t="shared" si="9"/>
        <v>50327</v>
      </c>
      <c r="W18" s="79">
        <f t="shared" si="9"/>
        <v>50341</v>
      </c>
      <c r="X18" s="79">
        <f t="shared" si="9"/>
        <v>50355</v>
      </c>
      <c r="Y18" s="79">
        <f t="shared" si="9"/>
        <v>50369</v>
      </c>
      <c r="Z18" s="79">
        <f t="shared" si="9"/>
        <v>50383</v>
      </c>
      <c r="AA18" s="79">
        <f t="shared" si="9"/>
        <v>50397</v>
      </c>
      <c r="AB18" t="s">
        <v>72</v>
      </c>
    </row>
    <row r="19" spans="1:28" x14ac:dyDescent="0.2">
      <c r="A19">
        <v>2038</v>
      </c>
      <c r="B19" s="79">
        <f t="shared" si="10"/>
        <v>50411</v>
      </c>
      <c r="C19" s="79">
        <f t="shared" si="9"/>
        <v>50425</v>
      </c>
      <c r="D19" s="79">
        <f t="shared" si="9"/>
        <v>50439</v>
      </c>
      <c r="E19" s="79">
        <f t="shared" si="9"/>
        <v>50453</v>
      </c>
      <c r="F19" s="79">
        <f t="shared" si="9"/>
        <v>50467</v>
      </c>
      <c r="G19" s="79">
        <f t="shared" si="9"/>
        <v>50481</v>
      </c>
      <c r="H19" s="79">
        <f t="shared" si="9"/>
        <v>50495</v>
      </c>
      <c r="I19" s="79">
        <f t="shared" si="9"/>
        <v>50509</v>
      </c>
      <c r="J19" s="79">
        <f t="shared" si="9"/>
        <v>50523</v>
      </c>
      <c r="K19" s="79">
        <f t="shared" si="9"/>
        <v>50537</v>
      </c>
      <c r="L19" s="79">
        <f t="shared" si="9"/>
        <v>50551</v>
      </c>
      <c r="M19" s="79">
        <f t="shared" si="9"/>
        <v>50565</v>
      </c>
      <c r="N19" s="79">
        <f t="shared" si="9"/>
        <v>50579</v>
      </c>
      <c r="O19" s="79">
        <f t="shared" si="9"/>
        <v>50593</v>
      </c>
      <c r="P19" s="79">
        <f t="shared" si="9"/>
        <v>50607</v>
      </c>
      <c r="Q19" s="79">
        <f t="shared" si="9"/>
        <v>50621</v>
      </c>
      <c r="R19" s="79">
        <f t="shared" si="9"/>
        <v>50635</v>
      </c>
      <c r="S19" s="79">
        <f t="shared" si="9"/>
        <v>50649</v>
      </c>
      <c r="T19" s="79">
        <f t="shared" si="9"/>
        <v>50663</v>
      </c>
      <c r="U19" s="79">
        <f t="shared" si="9"/>
        <v>50677</v>
      </c>
      <c r="V19" s="79">
        <f t="shared" si="9"/>
        <v>50691</v>
      </c>
      <c r="W19" s="79">
        <f t="shared" si="9"/>
        <v>50705</v>
      </c>
      <c r="X19" s="79">
        <f t="shared" si="9"/>
        <v>50719</v>
      </c>
      <c r="Y19" s="79">
        <f t="shared" si="9"/>
        <v>50733</v>
      </c>
      <c r="Z19" s="79">
        <f t="shared" si="9"/>
        <v>50747</v>
      </c>
      <c r="AA19" s="79">
        <f t="shared" si="9"/>
        <v>50761</v>
      </c>
      <c r="AB19" t="s">
        <v>72</v>
      </c>
    </row>
    <row r="20" spans="1:28" x14ac:dyDescent="0.2">
      <c r="A20">
        <v>2039</v>
      </c>
      <c r="B20" s="79">
        <f t="shared" si="10"/>
        <v>50775</v>
      </c>
      <c r="C20" s="79">
        <f t="shared" si="9"/>
        <v>50789</v>
      </c>
      <c r="D20" s="79">
        <f t="shared" si="9"/>
        <v>50803</v>
      </c>
      <c r="E20" s="79">
        <f t="shared" si="9"/>
        <v>50817</v>
      </c>
      <c r="F20" s="79">
        <f t="shared" si="9"/>
        <v>50831</v>
      </c>
      <c r="G20" s="79">
        <f t="shared" si="9"/>
        <v>50845</v>
      </c>
      <c r="H20" s="79">
        <f t="shared" si="9"/>
        <v>50859</v>
      </c>
      <c r="I20" s="79">
        <f t="shared" si="9"/>
        <v>50873</v>
      </c>
      <c r="J20" s="79">
        <f t="shared" si="9"/>
        <v>50887</v>
      </c>
      <c r="K20" s="79">
        <f t="shared" si="9"/>
        <v>50901</v>
      </c>
      <c r="L20" s="79">
        <f t="shared" si="9"/>
        <v>50915</v>
      </c>
      <c r="M20" s="79">
        <f t="shared" si="9"/>
        <v>50929</v>
      </c>
      <c r="N20" s="79">
        <f t="shared" si="9"/>
        <v>50943</v>
      </c>
      <c r="O20" s="79">
        <f t="shared" si="9"/>
        <v>50957</v>
      </c>
      <c r="P20" s="79">
        <f t="shared" si="9"/>
        <v>50971</v>
      </c>
      <c r="Q20" s="79">
        <f t="shared" si="9"/>
        <v>50985</v>
      </c>
      <c r="R20" s="79">
        <f t="shared" si="9"/>
        <v>50999</v>
      </c>
      <c r="S20" s="79">
        <f t="shared" si="9"/>
        <v>51013</v>
      </c>
      <c r="T20" s="79">
        <f t="shared" si="9"/>
        <v>51027</v>
      </c>
      <c r="U20" s="79">
        <f t="shared" si="9"/>
        <v>51041</v>
      </c>
      <c r="V20" s="79">
        <f t="shared" si="9"/>
        <v>51055</v>
      </c>
      <c r="W20" s="79">
        <f t="shared" si="9"/>
        <v>51069</v>
      </c>
      <c r="X20" s="79">
        <f t="shared" si="9"/>
        <v>51083</v>
      </c>
      <c r="Y20" s="79">
        <f t="shared" si="9"/>
        <v>51097</v>
      </c>
      <c r="Z20" s="79">
        <f t="shared" si="9"/>
        <v>51111</v>
      </c>
      <c r="AA20" s="79">
        <f t="shared" si="9"/>
        <v>51125</v>
      </c>
      <c r="AB20" t="s">
        <v>72</v>
      </c>
    </row>
    <row r="21" spans="1:28" x14ac:dyDescent="0.2">
      <c r="A21">
        <v>2040</v>
      </c>
      <c r="B21" s="79">
        <f t="shared" si="10"/>
        <v>51139</v>
      </c>
      <c r="C21" s="79">
        <f t="shared" si="9"/>
        <v>51153</v>
      </c>
      <c r="D21" s="79">
        <f t="shared" si="9"/>
        <v>51167</v>
      </c>
      <c r="E21" s="79">
        <f t="shared" si="9"/>
        <v>51181</v>
      </c>
      <c r="F21" s="79">
        <f t="shared" si="9"/>
        <v>51195</v>
      </c>
      <c r="G21" s="79">
        <f t="shared" ref="G21:AA26" si="11">F21+14</f>
        <v>51209</v>
      </c>
      <c r="H21" s="79">
        <f t="shared" si="11"/>
        <v>51223</v>
      </c>
      <c r="I21" s="79">
        <f t="shared" si="11"/>
        <v>51237</v>
      </c>
      <c r="J21" s="79">
        <f t="shared" si="11"/>
        <v>51251</v>
      </c>
      <c r="K21" s="79">
        <f t="shared" si="11"/>
        <v>51265</v>
      </c>
      <c r="L21" s="79">
        <f t="shared" si="11"/>
        <v>51279</v>
      </c>
      <c r="M21" s="79">
        <f t="shared" si="11"/>
        <v>51293</v>
      </c>
      <c r="N21" s="79">
        <f t="shared" si="11"/>
        <v>51307</v>
      </c>
      <c r="O21" s="79">
        <f t="shared" si="11"/>
        <v>51321</v>
      </c>
      <c r="P21" s="79">
        <f t="shared" si="11"/>
        <v>51335</v>
      </c>
      <c r="Q21" s="79">
        <f t="shared" si="11"/>
        <v>51349</v>
      </c>
      <c r="R21" s="79">
        <f t="shared" si="11"/>
        <v>51363</v>
      </c>
      <c r="S21" s="79">
        <f t="shared" si="11"/>
        <v>51377</v>
      </c>
      <c r="T21" s="79">
        <f t="shared" si="11"/>
        <v>51391</v>
      </c>
      <c r="U21" s="79">
        <f t="shared" si="11"/>
        <v>51405</v>
      </c>
      <c r="V21" s="79">
        <f t="shared" si="11"/>
        <v>51419</v>
      </c>
      <c r="W21" s="79">
        <f t="shared" si="11"/>
        <v>51433</v>
      </c>
      <c r="X21" s="79">
        <f t="shared" si="11"/>
        <v>51447</v>
      </c>
      <c r="Y21" s="79">
        <f t="shared" si="11"/>
        <v>51461</v>
      </c>
      <c r="Z21" s="79">
        <f t="shared" si="11"/>
        <v>51475</v>
      </c>
      <c r="AA21" s="79">
        <f t="shared" si="11"/>
        <v>51489</v>
      </c>
      <c r="AB21" t="s">
        <v>72</v>
      </c>
    </row>
    <row r="22" spans="1:28" x14ac:dyDescent="0.2">
      <c r="A22">
        <v>2041</v>
      </c>
      <c r="B22" s="79">
        <f t="shared" si="10"/>
        <v>51503</v>
      </c>
      <c r="C22" s="79">
        <f t="shared" ref="C22:F26" si="12">B22+14</f>
        <v>51517</v>
      </c>
      <c r="D22" s="79">
        <f t="shared" si="12"/>
        <v>51531</v>
      </c>
      <c r="E22" s="79">
        <f t="shared" si="12"/>
        <v>51545</v>
      </c>
      <c r="F22" s="79">
        <f t="shared" si="12"/>
        <v>51559</v>
      </c>
      <c r="G22" s="79">
        <f t="shared" si="11"/>
        <v>51573</v>
      </c>
      <c r="H22" s="79">
        <f t="shared" si="11"/>
        <v>51587</v>
      </c>
      <c r="I22" s="79">
        <f t="shared" si="11"/>
        <v>51601</v>
      </c>
      <c r="J22" s="79">
        <f t="shared" si="11"/>
        <v>51615</v>
      </c>
      <c r="K22" s="79">
        <f t="shared" si="11"/>
        <v>51629</v>
      </c>
      <c r="L22" s="79">
        <f t="shared" si="11"/>
        <v>51643</v>
      </c>
      <c r="M22" s="79">
        <f t="shared" si="11"/>
        <v>51657</v>
      </c>
      <c r="N22" s="79">
        <f t="shared" si="11"/>
        <v>51671</v>
      </c>
      <c r="O22" s="79">
        <f t="shared" si="11"/>
        <v>51685</v>
      </c>
      <c r="P22" s="79">
        <f t="shared" si="11"/>
        <v>51699</v>
      </c>
      <c r="Q22" s="79">
        <f t="shared" si="11"/>
        <v>51713</v>
      </c>
      <c r="R22" s="79">
        <f t="shared" si="11"/>
        <v>51727</v>
      </c>
      <c r="S22" s="79">
        <f t="shared" si="11"/>
        <v>51741</v>
      </c>
      <c r="T22" s="79">
        <f t="shared" si="11"/>
        <v>51755</v>
      </c>
      <c r="U22" s="79">
        <f t="shared" si="11"/>
        <v>51769</v>
      </c>
      <c r="V22" s="79">
        <f t="shared" si="11"/>
        <v>51783</v>
      </c>
      <c r="W22" s="79">
        <f t="shared" si="11"/>
        <v>51797</v>
      </c>
      <c r="X22" s="79">
        <f t="shared" si="11"/>
        <v>51811</v>
      </c>
      <c r="Y22" s="79">
        <f t="shared" si="11"/>
        <v>51825</v>
      </c>
      <c r="Z22" s="79">
        <f t="shared" si="11"/>
        <v>51839</v>
      </c>
      <c r="AA22" s="79">
        <f t="shared" si="11"/>
        <v>51853</v>
      </c>
      <c r="AB22" t="s">
        <v>72</v>
      </c>
    </row>
    <row r="23" spans="1:28" x14ac:dyDescent="0.2">
      <c r="A23">
        <v>2042</v>
      </c>
      <c r="B23" s="79">
        <f t="shared" si="10"/>
        <v>51867</v>
      </c>
      <c r="C23" s="79">
        <f t="shared" si="12"/>
        <v>51881</v>
      </c>
      <c r="D23" s="79">
        <f t="shared" si="12"/>
        <v>51895</v>
      </c>
      <c r="E23" s="79">
        <f t="shared" si="12"/>
        <v>51909</v>
      </c>
      <c r="F23" s="79">
        <f t="shared" si="12"/>
        <v>51923</v>
      </c>
      <c r="G23" s="79">
        <f t="shared" si="11"/>
        <v>51937</v>
      </c>
      <c r="H23" s="79">
        <f t="shared" si="11"/>
        <v>51951</v>
      </c>
      <c r="I23" s="79">
        <f t="shared" si="11"/>
        <v>51965</v>
      </c>
      <c r="J23" s="79">
        <f t="shared" si="11"/>
        <v>51979</v>
      </c>
      <c r="K23" s="79">
        <f t="shared" si="11"/>
        <v>51993</v>
      </c>
      <c r="L23" s="79">
        <f t="shared" si="11"/>
        <v>52007</v>
      </c>
      <c r="M23" s="79">
        <f t="shared" si="11"/>
        <v>52021</v>
      </c>
      <c r="N23" s="79">
        <f t="shared" si="11"/>
        <v>52035</v>
      </c>
      <c r="O23" s="79">
        <f t="shared" si="11"/>
        <v>52049</v>
      </c>
      <c r="P23" s="79">
        <f t="shared" si="11"/>
        <v>52063</v>
      </c>
      <c r="Q23" s="79">
        <f t="shared" si="11"/>
        <v>52077</v>
      </c>
      <c r="R23" s="79">
        <f t="shared" si="11"/>
        <v>52091</v>
      </c>
      <c r="S23" s="79">
        <f t="shared" si="11"/>
        <v>52105</v>
      </c>
      <c r="T23" s="79">
        <f t="shared" si="11"/>
        <v>52119</v>
      </c>
      <c r="U23" s="79">
        <f t="shared" si="11"/>
        <v>52133</v>
      </c>
      <c r="V23" s="79">
        <f t="shared" si="11"/>
        <v>52147</v>
      </c>
      <c r="W23" s="79">
        <f t="shared" si="11"/>
        <v>52161</v>
      </c>
      <c r="X23" s="79">
        <f t="shared" si="11"/>
        <v>52175</v>
      </c>
      <c r="Y23" s="79">
        <f t="shared" si="11"/>
        <v>52189</v>
      </c>
      <c r="Z23" s="79">
        <f t="shared" si="11"/>
        <v>52203</v>
      </c>
      <c r="AA23" s="79">
        <f t="shared" si="11"/>
        <v>52217</v>
      </c>
      <c r="AB23" s="79">
        <f>AA23+14</f>
        <v>52231</v>
      </c>
    </row>
    <row r="24" spans="1:28" x14ac:dyDescent="0.2">
      <c r="A24">
        <v>2043</v>
      </c>
      <c r="B24" s="79">
        <f>AB23+14</f>
        <v>52245</v>
      </c>
      <c r="C24" s="79">
        <f t="shared" si="12"/>
        <v>52259</v>
      </c>
      <c r="D24" s="79">
        <f t="shared" si="12"/>
        <v>52273</v>
      </c>
      <c r="E24" s="79">
        <f t="shared" si="12"/>
        <v>52287</v>
      </c>
      <c r="F24" s="79">
        <f t="shared" si="12"/>
        <v>52301</v>
      </c>
      <c r="G24" s="79">
        <f t="shared" si="11"/>
        <v>52315</v>
      </c>
      <c r="H24" s="79">
        <f t="shared" si="11"/>
        <v>52329</v>
      </c>
      <c r="I24" s="79">
        <f t="shared" si="11"/>
        <v>52343</v>
      </c>
      <c r="J24" s="79">
        <f t="shared" si="11"/>
        <v>52357</v>
      </c>
      <c r="K24" s="79">
        <f t="shared" si="11"/>
        <v>52371</v>
      </c>
      <c r="L24" s="79">
        <f t="shared" si="11"/>
        <v>52385</v>
      </c>
      <c r="M24" s="79">
        <f t="shared" si="11"/>
        <v>52399</v>
      </c>
      <c r="N24" s="79">
        <f t="shared" si="11"/>
        <v>52413</v>
      </c>
      <c r="O24" s="79">
        <f t="shared" si="11"/>
        <v>52427</v>
      </c>
      <c r="P24" s="79">
        <f t="shared" si="11"/>
        <v>52441</v>
      </c>
      <c r="Q24" s="79">
        <f t="shared" si="11"/>
        <v>52455</v>
      </c>
      <c r="R24" s="79">
        <f t="shared" si="11"/>
        <v>52469</v>
      </c>
      <c r="S24" s="79">
        <f t="shared" si="11"/>
        <v>52483</v>
      </c>
      <c r="T24" s="79">
        <f t="shared" si="11"/>
        <v>52497</v>
      </c>
      <c r="U24" s="79">
        <f t="shared" si="11"/>
        <v>52511</v>
      </c>
      <c r="V24" s="79">
        <f t="shared" si="11"/>
        <v>52525</v>
      </c>
      <c r="W24" s="79">
        <f t="shared" si="11"/>
        <v>52539</v>
      </c>
      <c r="X24" s="79">
        <f t="shared" si="11"/>
        <v>52553</v>
      </c>
      <c r="Y24" s="79">
        <f t="shared" si="11"/>
        <v>52567</v>
      </c>
      <c r="Z24" s="79">
        <f t="shared" si="11"/>
        <v>52581</v>
      </c>
      <c r="AA24" s="79">
        <f t="shared" si="11"/>
        <v>52595</v>
      </c>
      <c r="AB24" t="s">
        <v>72</v>
      </c>
    </row>
    <row r="25" spans="1:28" x14ac:dyDescent="0.2">
      <c r="A25">
        <v>2044</v>
      </c>
      <c r="B25" s="79">
        <f>AA24+14</f>
        <v>52609</v>
      </c>
      <c r="C25" s="79">
        <f t="shared" si="12"/>
        <v>52623</v>
      </c>
      <c r="D25" s="79">
        <f t="shared" si="12"/>
        <v>52637</v>
      </c>
      <c r="E25" s="79">
        <f t="shared" si="12"/>
        <v>52651</v>
      </c>
      <c r="F25" s="79">
        <f t="shared" si="12"/>
        <v>52665</v>
      </c>
      <c r="G25" s="79">
        <f t="shared" si="11"/>
        <v>52679</v>
      </c>
      <c r="H25" s="79">
        <f t="shared" si="11"/>
        <v>52693</v>
      </c>
      <c r="I25" s="79">
        <f t="shared" si="11"/>
        <v>52707</v>
      </c>
      <c r="J25" s="79">
        <f t="shared" si="11"/>
        <v>52721</v>
      </c>
      <c r="K25" s="79">
        <f t="shared" si="11"/>
        <v>52735</v>
      </c>
      <c r="L25" s="79">
        <f t="shared" si="11"/>
        <v>52749</v>
      </c>
      <c r="M25" s="79">
        <f t="shared" si="11"/>
        <v>52763</v>
      </c>
      <c r="N25" s="79">
        <f t="shared" si="11"/>
        <v>52777</v>
      </c>
      <c r="O25" s="79">
        <f t="shared" si="11"/>
        <v>52791</v>
      </c>
      <c r="P25" s="79">
        <f t="shared" si="11"/>
        <v>52805</v>
      </c>
      <c r="Q25" s="79">
        <f t="shared" si="11"/>
        <v>52819</v>
      </c>
      <c r="R25" s="79">
        <f t="shared" si="11"/>
        <v>52833</v>
      </c>
      <c r="S25" s="79">
        <f t="shared" si="11"/>
        <v>52847</v>
      </c>
      <c r="T25" s="79">
        <f t="shared" si="11"/>
        <v>52861</v>
      </c>
      <c r="U25" s="79">
        <f t="shared" si="11"/>
        <v>52875</v>
      </c>
      <c r="V25" s="79">
        <f t="shared" si="11"/>
        <v>52889</v>
      </c>
      <c r="W25" s="79">
        <f t="shared" si="11"/>
        <v>52903</v>
      </c>
      <c r="X25" s="79">
        <f t="shared" si="11"/>
        <v>52917</v>
      </c>
      <c r="Y25" s="79">
        <f t="shared" si="11"/>
        <v>52931</v>
      </c>
      <c r="Z25" s="79">
        <f t="shared" si="11"/>
        <v>52945</v>
      </c>
      <c r="AA25" s="79">
        <f t="shared" si="11"/>
        <v>52959</v>
      </c>
      <c r="AB25" t="s">
        <v>72</v>
      </c>
    </row>
    <row r="26" spans="1:28" x14ac:dyDescent="0.2">
      <c r="A26">
        <v>2045</v>
      </c>
      <c r="B26" s="79">
        <f>AA25+14</f>
        <v>52973</v>
      </c>
      <c r="C26" s="79">
        <f t="shared" si="12"/>
        <v>52987</v>
      </c>
      <c r="D26" s="79">
        <f t="shared" si="12"/>
        <v>53001</v>
      </c>
      <c r="E26" s="79">
        <f t="shared" si="12"/>
        <v>53015</v>
      </c>
      <c r="F26" s="79">
        <f t="shared" si="12"/>
        <v>53029</v>
      </c>
      <c r="G26" s="79">
        <f t="shared" si="11"/>
        <v>53043</v>
      </c>
      <c r="H26" s="79">
        <f t="shared" si="11"/>
        <v>53057</v>
      </c>
      <c r="I26" s="79">
        <f t="shared" si="11"/>
        <v>53071</v>
      </c>
      <c r="J26" s="79">
        <f t="shared" si="11"/>
        <v>53085</v>
      </c>
      <c r="K26" s="79">
        <f t="shared" si="11"/>
        <v>53099</v>
      </c>
      <c r="L26" s="79">
        <f t="shared" si="11"/>
        <v>53113</v>
      </c>
      <c r="M26" s="79">
        <f t="shared" si="11"/>
        <v>53127</v>
      </c>
      <c r="N26" s="79">
        <f t="shared" si="11"/>
        <v>53141</v>
      </c>
      <c r="O26" s="79">
        <f t="shared" si="11"/>
        <v>53155</v>
      </c>
      <c r="P26" s="79">
        <f t="shared" si="11"/>
        <v>53169</v>
      </c>
      <c r="Q26" s="79">
        <f t="shared" si="11"/>
        <v>53183</v>
      </c>
      <c r="R26" s="79">
        <f t="shared" si="11"/>
        <v>53197</v>
      </c>
      <c r="S26" s="79">
        <f t="shared" si="11"/>
        <v>53211</v>
      </c>
      <c r="T26" s="79">
        <f t="shared" si="11"/>
        <v>53225</v>
      </c>
      <c r="U26" s="79">
        <f t="shared" si="11"/>
        <v>53239</v>
      </c>
      <c r="V26" s="79">
        <f t="shared" si="11"/>
        <v>53253</v>
      </c>
      <c r="W26" s="79">
        <f t="shared" si="11"/>
        <v>53267</v>
      </c>
      <c r="X26" s="79">
        <f t="shared" si="11"/>
        <v>53281</v>
      </c>
      <c r="Y26" s="79">
        <f t="shared" si="11"/>
        <v>53295</v>
      </c>
      <c r="Z26" s="79">
        <f t="shared" si="11"/>
        <v>53309</v>
      </c>
      <c r="AA26" s="79">
        <f t="shared" si="11"/>
        <v>53323</v>
      </c>
      <c r="AB26" t="s">
        <v>72</v>
      </c>
    </row>
    <row r="27" spans="1:28" x14ac:dyDescent="0.2">
      <c r="A27">
        <v>2046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1:28" x14ac:dyDescent="0.2">
      <c r="A28">
        <v>2047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spans="1:28" x14ac:dyDescent="0.2">
      <c r="A29">
        <v>2048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spans="1:28" x14ac:dyDescent="0.2">
      <c r="A30">
        <v>2049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8" x14ac:dyDescent="0.2">
      <c r="A31">
        <v>2050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8" x14ac:dyDescent="0.2">
      <c r="A32">
        <v>2051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x14ac:dyDescent="0.2">
      <c r="A33">
        <v>2052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x14ac:dyDescent="0.2">
      <c r="A34">
        <v>2053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x14ac:dyDescent="0.2">
      <c r="A35">
        <v>2054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x14ac:dyDescent="0.2">
      <c r="A36">
        <v>2055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x14ac:dyDescent="0.2">
      <c r="A37">
        <v>2056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x14ac:dyDescent="0.2">
      <c r="A38">
        <v>2057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x14ac:dyDescent="0.2">
      <c r="A39">
        <v>2058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</row>
    <row r="40" spans="1:27" x14ac:dyDescent="0.2">
      <c r="A40">
        <v>2059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</row>
    <row r="41" spans="1:27" x14ac:dyDescent="0.2">
      <c r="A41">
        <v>2060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AAA-89</vt:lpstr>
      <vt:lpstr>Bisemanas</vt:lpstr>
      <vt:lpstr>CalendarYear</vt:lpstr>
      <vt:lpstr>'AAA-89'!Print_Area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Víctor Maldonado Martínez</dc:creator>
  <cp:lastModifiedBy>Victor Maldonado Martinez</cp:lastModifiedBy>
  <cp:lastPrinted>2021-11-02T15:04:24Z</cp:lastPrinted>
  <dcterms:created xsi:type="dcterms:W3CDTF">2017-11-29T09:38:15Z</dcterms:created>
  <dcterms:modified xsi:type="dcterms:W3CDTF">2021-11-02T15:04:27Z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v-shbahu@microsoft.com</vt:lpwstr>
  </property>
  <property fmtid="{D5CDD505-2E9C-101B-9397-08002B2CF9AE}" pid="5" name="MSIP_Label_f42aa342-8706-4288-bd11-ebb85995028c_SetDate">
    <vt:lpwstr>2018-05-18T15:55:50.9625317Z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